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neuschl\Desktop\"/>
    </mc:Choice>
  </mc:AlternateContent>
  <xr:revisionPtr revIDLastSave="0" documentId="13_ncr:1_{E4261DFE-AC8F-4164-970B-B77C7C583A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R2, FR3, FR4, CEM" sheetId="3" r:id="rId1"/>
    <sheet name="FR4 with aluminium" sheetId="10" r:id="rId2"/>
    <sheet name="Halogenfrei, BT, Polyimid Starr" sheetId="4" r:id="rId3"/>
    <sheet name="PE, PTFE, PMMA, Polyimid flex, " sheetId="5" r:id="rId4"/>
    <sheet name="Alu, Cu, IMS" sheetId="6" r:id="rId5"/>
    <sheet name="Diamondcoated IMS" sheetId="7" r:id="rId6"/>
    <sheet name="Diamondcoated at FR4" sheetId="8" r:id="rId7"/>
    <sheet name="Schnittgechwindigkeit" sheetId="9" r:id="rId8"/>
  </sheets>
  <calcPr calcId="181029"/>
</workbook>
</file>

<file path=xl/calcChain.xml><?xml version="1.0" encoding="utf-8"?>
<calcChain xmlns="http://schemas.openxmlformats.org/spreadsheetml/2006/main">
  <c r="G6" i="7" l="1"/>
  <c r="C6" i="7"/>
  <c r="G6" i="6"/>
  <c r="C6" i="6"/>
  <c r="G53" i="5"/>
  <c r="A48" i="5"/>
  <c r="C48" i="5"/>
  <c r="D48" i="5"/>
  <c r="E48" i="5"/>
  <c r="F48" i="5"/>
  <c r="G48" i="5"/>
  <c r="H48" i="5"/>
  <c r="L48" i="5"/>
  <c r="F11" i="9"/>
  <c r="E11" i="9"/>
  <c r="G56" i="10" l="1"/>
  <c r="G55" i="10"/>
  <c r="G54" i="10"/>
  <c r="G53" i="10"/>
  <c r="G52" i="10"/>
  <c r="G51" i="10"/>
  <c r="I48" i="10"/>
  <c r="H48" i="10"/>
  <c r="A21" i="10" s="1"/>
  <c r="G48" i="10"/>
  <c r="F48" i="10"/>
  <c r="F4" i="10" s="1"/>
  <c r="E48" i="10"/>
  <c r="F3" i="10" s="1"/>
  <c r="D48" i="10"/>
  <c r="G6" i="10" s="1"/>
  <c r="C48" i="10"/>
  <c r="C6" i="10" s="1"/>
  <c r="A48" i="10"/>
  <c r="T39" i="10"/>
  <c r="K39" i="10"/>
  <c r="T38" i="10"/>
  <c r="K38" i="10"/>
  <c r="T37" i="10"/>
  <c r="K37" i="10"/>
  <c r="T36" i="10"/>
  <c r="K36" i="10"/>
  <c r="T35" i="10"/>
  <c r="K35" i="10"/>
  <c r="T34" i="10"/>
  <c r="K34" i="10"/>
  <c r="T33" i="10"/>
  <c r="K33" i="10"/>
  <c r="T32" i="10"/>
  <c r="K32" i="10"/>
  <c r="T31" i="10"/>
  <c r="K31" i="10"/>
  <c r="T30" i="10"/>
  <c r="K30" i="10"/>
  <c r="T29" i="10"/>
  <c r="K29" i="10"/>
  <c r="T28" i="10"/>
  <c r="K28" i="10"/>
  <c r="T27" i="10"/>
  <c r="K27" i="10"/>
  <c r="T26" i="10"/>
  <c r="K26" i="10"/>
  <c r="T25" i="10"/>
  <c r="K25" i="10"/>
  <c r="O12" i="10"/>
  <c r="O13" i="10" s="1"/>
  <c r="O14" i="10" s="1"/>
  <c r="O15" i="10" s="1"/>
  <c r="O16" i="10" s="1"/>
  <c r="O17" i="10" s="1"/>
  <c r="O18" i="10" s="1"/>
  <c r="O19" i="10" s="1"/>
  <c r="O20" i="10" s="1"/>
  <c r="O21" i="10" s="1"/>
  <c r="O22" i="10" s="1"/>
  <c r="O23" i="10" s="1"/>
  <c r="O24" i="10" s="1"/>
  <c r="O25" i="10" s="1"/>
  <c r="O26" i="10" s="1"/>
  <c r="O27" i="10" s="1"/>
  <c r="O28" i="10" s="1"/>
  <c r="O29" i="10" s="1"/>
  <c r="O30" i="10" s="1"/>
  <c r="O31" i="10" s="1"/>
  <c r="O32" i="10" s="1"/>
  <c r="O33" i="10" s="1"/>
  <c r="O34" i="10" s="1"/>
  <c r="O35" i="10" s="1"/>
  <c r="O36" i="10" s="1"/>
  <c r="O37" i="10" s="1"/>
  <c r="O38" i="10" s="1"/>
  <c r="O39" i="10" s="1"/>
  <c r="H4" i="10"/>
  <c r="A22" i="10" l="1"/>
  <c r="T22" i="10" s="1"/>
  <c r="A13" i="10"/>
  <c r="K13" i="10" s="1"/>
  <c r="A12" i="10"/>
  <c r="T12" i="10" s="1"/>
  <c r="A17" i="10"/>
  <c r="T17" i="10" s="1"/>
  <c r="J35" i="10"/>
  <c r="J39" i="10"/>
  <c r="J27" i="10"/>
  <c r="J31" i="10"/>
  <c r="B38" i="10"/>
  <c r="B36" i="10"/>
  <c r="B34" i="10"/>
  <c r="B32" i="10"/>
  <c r="B30" i="10"/>
  <c r="B28" i="10"/>
  <c r="B26" i="10"/>
  <c r="B21" i="10"/>
  <c r="U21" i="10" s="1"/>
  <c r="B22" i="10"/>
  <c r="U22" i="10" s="1"/>
  <c r="B33" i="10"/>
  <c r="B29" i="10"/>
  <c r="B39" i="10"/>
  <c r="B35" i="10"/>
  <c r="B31" i="10"/>
  <c r="B27" i="10"/>
  <c r="B37" i="10"/>
  <c r="B25" i="10"/>
  <c r="K21" i="10"/>
  <c r="T21" i="10"/>
  <c r="J21" i="10"/>
  <c r="J38" i="10"/>
  <c r="J36" i="10"/>
  <c r="J34" i="10"/>
  <c r="J32" i="10"/>
  <c r="J30" i="10"/>
  <c r="J28" i="10"/>
  <c r="J26" i="10"/>
  <c r="P13" i="10"/>
  <c r="K22" i="10"/>
  <c r="P22" i="10"/>
  <c r="J22" i="10"/>
  <c r="P38" i="10"/>
  <c r="P36" i="10"/>
  <c r="P34" i="10"/>
  <c r="P32" i="10"/>
  <c r="P30" i="10"/>
  <c r="P28" i="10"/>
  <c r="P26" i="10"/>
  <c r="P39" i="10"/>
  <c r="P37" i="10"/>
  <c r="P35" i="10"/>
  <c r="P33" i="10"/>
  <c r="P31" i="10"/>
  <c r="P29" i="10"/>
  <c r="P27" i="10"/>
  <c r="P25" i="10"/>
  <c r="F38" i="10"/>
  <c r="F36" i="10"/>
  <c r="F34" i="10"/>
  <c r="F32" i="10"/>
  <c r="F30" i="10"/>
  <c r="F28" i="10"/>
  <c r="F26" i="10"/>
  <c r="F21" i="10"/>
  <c r="F39" i="10"/>
  <c r="F37" i="10"/>
  <c r="F35" i="10"/>
  <c r="F33" i="10"/>
  <c r="F31" i="10"/>
  <c r="F29" i="10"/>
  <c r="F27" i="10"/>
  <c r="F25" i="10"/>
  <c r="T13" i="10"/>
  <c r="J25" i="10"/>
  <c r="J29" i="10"/>
  <c r="J33" i="10"/>
  <c r="J37" i="10"/>
  <c r="P21" i="10"/>
  <c r="J13" i="10"/>
  <c r="A23" i="10"/>
  <c r="B23" i="10" s="1"/>
  <c r="A19" i="10"/>
  <c r="F19" i="10" s="1"/>
  <c r="A15" i="10"/>
  <c r="A24" i="10"/>
  <c r="A20" i="10"/>
  <c r="B20" i="10" s="1"/>
  <c r="A16" i="10"/>
  <c r="B16" i="10" s="1"/>
  <c r="A11" i="10"/>
  <c r="F11" i="10" s="1"/>
  <c r="A14" i="10"/>
  <c r="A18" i="10"/>
  <c r="B18" i="10" s="1"/>
  <c r="F13" i="10" l="1"/>
  <c r="B13" i="10"/>
  <c r="U13" i="10" s="1"/>
  <c r="F22" i="10"/>
  <c r="K17" i="10"/>
  <c r="J17" i="10"/>
  <c r="B17" i="10"/>
  <c r="U17" i="10" s="1"/>
  <c r="F12" i="10"/>
  <c r="P12" i="10"/>
  <c r="G12" i="10" s="1"/>
  <c r="K12" i="10"/>
  <c r="B12" i="10"/>
  <c r="U12" i="10" s="1"/>
  <c r="J12" i="10"/>
  <c r="P17" i="10"/>
  <c r="C17" i="10" s="1"/>
  <c r="F17" i="10"/>
  <c r="F16" i="10"/>
  <c r="J14" i="10"/>
  <c r="P14" i="10"/>
  <c r="F14" i="10"/>
  <c r="T14" i="10"/>
  <c r="K14" i="10"/>
  <c r="G27" i="10"/>
  <c r="H27" i="10" s="1"/>
  <c r="I27" i="10" s="1"/>
  <c r="C27" i="10"/>
  <c r="D27" i="10" s="1"/>
  <c r="E27" i="10" s="1"/>
  <c r="G28" i="10"/>
  <c r="H28" i="10" s="1"/>
  <c r="I28" i="10" s="1"/>
  <c r="C28" i="10"/>
  <c r="D28" i="10" s="1"/>
  <c r="E28" i="10" s="1"/>
  <c r="U27" i="10"/>
  <c r="B14" i="10"/>
  <c r="U34" i="10"/>
  <c r="T11" i="10"/>
  <c r="P11" i="10"/>
  <c r="K11" i="10"/>
  <c r="J11" i="10"/>
  <c r="P15" i="10"/>
  <c r="T15" i="10"/>
  <c r="K15" i="10"/>
  <c r="J15" i="10"/>
  <c r="F15" i="10"/>
  <c r="G29" i="10"/>
  <c r="H29" i="10" s="1"/>
  <c r="I29" i="10" s="1"/>
  <c r="C29" i="10"/>
  <c r="D29" i="10" s="1"/>
  <c r="E29" i="10" s="1"/>
  <c r="G30" i="10"/>
  <c r="H30" i="10" s="1"/>
  <c r="I30" i="10" s="1"/>
  <c r="C30" i="10"/>
  <c r="D30" i="10" s="1"/>
  <c r="E30" i="10" s="1"/>
  <c r="B15" i="10"/>
  <c r="U31" i="10"/>
  <c r="U29" i="10"/>
  <c r="U28" i="10"/>
  <c r="U36" i="10"/>
  <c r="T16" i="10"/>
  <c r="J16" i="10"/>
  <c r="P16" i="10"/>
  <c r="U16" i="10"/>
  <c r="K16" i="10"/>
  <c r="P19" i="10"/>
  <c r="J19" i="10"/>
  <c r="K19" i="10"/>
  <c r="T19" i="10"/>
  <c r="F23" i="10"/>
  <c r="F20" i="10"/>
  <c r="G31" i="10"/>
  <c r="H31" i="10" s="1"/>
  <c r="I31" i="10" s="1"/>
  <c r="C31" i="10"/>
  <c r="D31" i="10" s="1"/>
  <c r="E31" i="10" s="1"/>
  <c r="G39" i="10"/>
  <c r="H39" i="10" s="1"/>
  <c r="I39" i="10" s="1"/>
  <c r="C39" i="10"/>
  <c r="D39" i="10" s="1"/>
  <c r="E39" i="10" s="1"/>
  <c r="G32" i="10"/>
  <c r="H32" i="10" s="1"/>
  <c r="I32" i="10" s="1"/>
  <c r="C32" i="10"/>
  <c r="D32" i="10" s="1"/>
  <c r="E32" i="10" s="1"/>
  <c r="C13" i="10"/>
  <c r="D13" i="10" s="1"/>
  <c r="E13" i="10" s="1"/>
  <c r="G13" i="10"/>
  <c r="U25" i="10"/>
  <c r="U35" i="10"/>
  <c r="U33" i="10"/>
  <c r="B19" i="10"/>
  <c r="U30" i="10"/>
  <c r="U38" i="10"/>
  <c r="T24" i="10"/>
  <c r="J24" i="10"/>
  <c r="P24" i="10"/>
  <c r="K24" i="10"/>
  <c r="G35" i="10"/>
  <c r="H35" i="10" s="1"/>
  <c r="I35" i="10" s="1"/>
  <c r="C35" i="10"/>
  <c r="D35" i="10" s="1"/>
  <c r="E35" i="10" s="1"/>
  <c r="G36" i="10"/>
  <c r="H36" i="10" s="1"/>
  <c r="I36" i="10" s="1"/>
  <c r="C36" i="10"/>
  <c r="D36" i="10" s="1"/>
  <c r="E36" i="10" s="1"/>
  <c r="U26" i="10"/>
  <c r="G21" i="10"/>
  <c r="H21" i="10" s="1"/>
  <c r="I21" i="10" s="1"/>
  <c r="C21" i="10"/>
  <c r="D21" i="10" s="1"/>
  <c r="E21" i="10" s="1"/>
  <c r="G37" i="10"/>
  <c r="H37" i="10" s="1"/>
  <c r="I37" i="10" s="1"/>
  <c r="C37" i="10"/>
  <c r="D37" i="10" s="1"/>
  <c r="E37" i="10" s="1"/>
  <c r="G38" i="10"/>
  <c r="H38" i="10" s="1"/>
  <c r="I38" i="10" s="1"/>
  <c r="C38" i="10"/>
  <c r="D38" i="10" s="1"/>
  <c r="E38" i="10" s="1"/>
  <c r="U18" i="10"/>
  <c r="K18" i="10"/>
  <c r="P18" i="10"/>
  <c r="T18" i="10"/>
  <c r="J18" i="10"/>
  <c r="F18" i="10"/>
  <c r="T20" i="10"/>
  <c r="J20" i="10"/>
  <c r="P20" i="10"/>
  <c r="K20" i="10"/>
  <c r="U20" i="10"/>
  <c r="P23" i="10"/>
  <c r="T23" i="10"/>
  <c r="K23" i="10"/>
  <c r="J23" i="10"/>
  <c r="U23" i="10"/>
  <c r="F24" i="10"/>
  <c r="G25" i="10"/>
  <c r="H25" i="10" s="1"/>
  <c r="I25" i="10" s="1"/>
  <c r="C25" i="10"/>
  <c r="D25" i="10" s="1"/>
  <c r="E25" i="10" s="1"/>
  <c r="G33" i="10"/>
  <c r="H33" i="10" s="1"/>
  <c r="I33" i="10" s="1"/>
  <c r="C33" i="10"/>
  <c r="D33" i="10" s="1"/>
  <c r="E33" i="10" s="1"/>
  <c r="G26" i="10"/>
  <c r="H26" i="10" s="1"/>
  <c r="I26" i="10" s="1"/>
  <c r="C26" i="10"/>
  <c r="D26" i="10" s="1"/>
  <c r="E26" i="10" s="1"/>
  <c r="G34" i="10"/>
  <c r="H34" i="10" s="1"/>
  <c r="I34" i="10" s="1"/>
  <c r="C34" i="10"/>
  <c r="D34" i="10" s="1"/>
  <c r="E34" i="10" s="1"/>
  <c r="G22" i="10"/>
  <c r="C22" i="10"/>
  <c r="D22" i="10" s="1"/>
  <c r="E22" i="10" s="1"/>
  <c r="U37" i="10"/>
  <c r="U39" i="10"/>
  <c r="B11" i="10"/>
  <c r="U11" i="10" s="1"/>
  <c r="B24" i="10"/>
  <c r="U24" i="10" s="1"/>
  <c r="U32" i="10"/>
  <c r="G55" i="8"/>
  <c r="G54" i="8"/>
  <c r="G53" i="8"/>
  <c r="G52" i="8"/>
  <c r="G51" i="8"/>
  <c r="L48" i="8"/>
  <c r="H48" i="8"/>
  <c r="A24" i="8" s="1"/>
  <c r="K24" i="8" s="1"/>
  <c r="G48" i="8"/>
  <c r="F48" i="8"/>
  <c r="F4" i="8" s="1"/>
  <c r="E48" i="8"/>
  <c r="F3" i="8" s="1"/>
  <c r="D48" i="8"/>
  <c r="G6" i="8" s="1"/>
  <c r="C48" i="8"/>
  <c r="C6" i="8" s="1"/>
  <c r="A48" i="8"/>
  <c r="T39" i="8"/>
  <c r="K39" i="8"/>
  <c r="T38" i="8"/>
  <c r="K38" i="8"/>
  <c r="T37" i="8"/>
  <c r="K37" i="8"/>
  <c r="T36" i="8"/>
  <c r="K36" i="8"/>
  <c r="T35" i="8"/>
  <c r="K35" i="8"/>
  <c r="T34" i="8"/>
  <c r="K34" i="8"/>
  <c r="T33" i="8"/>
  <c r="K33" i="8"/>
  <c r="T32" i="8"/>
  <c r="K32" i="8"/>
  <c r="T31" i="8"/>
  <c r="K31" i="8"/>
  <c r="T30" i="8"/>
  <c r="K30" i="8"/>
  <c r="T29" i="8"/>
  <c r="K29" i="8"/>
  <c r="T28" i="8"/>
  <c r="K28" i="8"/>
  <c r="T27" i="8"/>
  <c r="K27" i="8"/>
  <c r="T26" i="8"/>
  <c r="K26" i="8"/>
  <c r="T25" i="8"/>
  <c r="K25" i="8"/>
  <c r="A23" i="8"/>
  <c r="T23" i="8" s="1"/>
  <c r="A21" i="8"/>
  <c r="K21" i="8" s="1"/>
  <c r="A19" i="8"/>
  <c r="T19" i="8" s="1"/>
  <c r="A18" i="8"/>
  <c r="A17" i="8"/>
  <c r="T17" i="8" s="1"/>
  <c r="A15" i="8"/>
  <c r="A14" i="8"/>
  <c r="K14" i="8" s="1"/>
  <c r="A13" i="8"/>
  <c r="K13" i="8" s="1"/>
  <c r="O12" i="8"/>
  <c r="O13" i="8" s="1"/>
  <c r="O14" i="8" s="1"/>
  <c r="O15" i="8" s="1"/>
  <c r="O16" i="8" s="1"/>
  <c r="O17" i="8" s="1"/>
  <c r="O18" i="8" s="1"/>
  <c r="O19" i="8" s="1"/>
  <c r="O20" i="8" s="1"/>
  <c r="A11" i="8"/>
  <c r="K11" i="8" s="1"/>
  <c r="H4" i="8"/>
  <c r="G55" i="7"/>
  <c r="G54" i="7"/>
  <c r="G53" i="7"/>
  <c r="G52" i="7"/>
  <c r="G51" i="7"/>
  <c r="L48" i="7"/>
  <c r="H4" i="7" s="1"/>
  <c r="H48" i="7"/>
  <c r="A23" i="7" s="1"/>
  <c r="J23" i="7" s="1"/>
  <c r="G48" i="7"/>
  <c r="F48" i="7"/>
  <c r="J37" i="7" s="1"/>
  <c r="E48" i="7"/>
  <c r="D48" i="7"/>
  <c r="C48" i="7"/>
  <c r="A48" i="7"/>
  <c r="T39" i="7"/>
  <c r="K39" i="7"/>
  <c r="T38" i="7"/>
  <c r="K38" i="7"/>
  <c r="T37" i="7"/>
  <c r="K37" i="7"/>
  <c r="T36" i="7"/>
  <c r="K36" i="7"/>
  <c r="T35" i="7"/>
  <c r="K35" i="7"/>
  <c r="T34" i="7"/>
  <c r="K34" i="7"/>
  <c r="T33" i="7"/>
  <c r="K33" i="7"/>
  <c r="T32" i="7"/>
  <c r="K32" i="7"/>
  <c r="T31" i="7"/>
  <c r="K31" i="7"/>
  <c r="T30" i="7"/>
  <c r="K30" i="7"/>
  <c r="T29" i="7"/>
  <c r="K29" i="7"/>
  <c r="J29" i="7"/>
  <c r="T28" i="7"/>
  <c r="K28" i="7"/>
  <c r="T27" i="7"/>
  <c r="K27" i="7"/>
  <c r="T26" i="7"/>
  <c r="K26" i="7"/>
  <c r="T25" i="7"/>
  <c r="K25" i="7"/>
  <c r="K23" i="7"/>
  <c r="A18" i="7"/>
  <c r="K18" i="7" s="1"/>
  <c r="O12" i="7"/>
  <c r="O13" i="7" s="1"/>
  <c r="O14" i="7" s="1"/>
  <c r="O15" i="7" s="1"/>
  <c r="O16" i="7" s="1"/>
  <c r="O17" i="7" s="1"/>
  <c r="O18" i="7" s="1"/>
  <c r="O19" i="7" s="1"/>
  <c r="O20" i="7" s="1"/>
  <c r="O21" i="7" s="1"/>
  <c r="O22" i="7" s="1"/>
  <c r="O23" i="7" s="1"/>
  <c r="O24" i="7" s="1"/>
  <c r="O25" i="7" s="1"/>
  <c r="O26" i="7" s="1"/>
  <c r="O27" i="7" s="1"/>
  <c r="O28" i="7" s="1"/>
  <c r="O29" i="7" s="1"/>
  <c r="O30" i="7" s="1"/>
  <c r="O31" i="7" s="1"/>
  <c r="O32" i="7" s="1"/>
  <c r="O33" i="7" s="1"/>
  <c r="O34" i="7" s="1"/>
  <c r="O35" i="7" s="1"/>
  <c r="O36" i="7" s="1"/>
  <c r="O37" i="7" s="1"/>
  <c r="O38" i="7" s="1"/>
  <c r="O39" i="7" s="1"/>
  <c r="F4" i="7"/>
  <c r="F3" i="7"/>
  <c r="G55" i="6"/>
  <c r="G54" i="6"/>
  <c r="G53" i="6"/>
  <c r="G48" i="6" s="1"/>
  <c r="G52" i="6"/>
  <c r="G51" i="6"/>
  <c r="L48" i="6"/>
  <c r="H4" i="6" s="1"/>
  <c r="H48" i="6"/>
  <c r="A11" i="6" s="1"/>
  <c r="T11" i="6" s="1"/>
  <c r="F48" i="6"/>
  <c r="F4" i="6" s="1"/>
  <c r="E48" i="6"/>
  <c r="D48" i="6"/>
  <c r="F39" i="6" s="1"/>
  <c r="C48" i="6"/>
  <c r="A48" i="6"/>
  <c r="T39" i="6"/>
  <c r="K39" i="6"/>
  <c r="T38" i="6"/>
  <c r="K38" i="6"/>
  <c r="T37" i="6"/>
  <c r="K37" i="6"/>
  <c r="T36" i="6"/>
  <c r="K36" i="6"/>
  <c r="T35" i="6"/>
  <c r="K35" i="6"/>
  <c r="T34" i="6"/>
  <c r="K34" i="6"/>
  <c r="T33" i="6"/>
  <c r="K33" i="6"/>
  <c r="T32" i="6"/>
  <c r="K32" i="6"/>
  <c r="T31" i="6"/>
  <c r="K31" i="6"/>
  <c r="T30" i="6"/>
  <c r="K30" i="6"/>
  <c r="T29" i="6"/>
  <c r="K29" i="6"/>
  <c r="T28" i="6"/>
  <c r="K28" i="6"/>
  <c r="T27" i="6"/>
  <c r="K27" i="6"/>
  <c r="T26" i="6"/>
  <c r="K26" i="6"/>
  <c r="T25" i="6"/>
  <c r="K25" i="6"/>
  <c r="O12" i="6"/>
  <c r="O13" i="6" s="1"/>
  <c r="O14" i="6" s="1"/>
  <c r="O15" i="6" s="1"/>
  <c r="O16" i="6" s="1"/>
  <c r="O17" i="6" s="1"/>
  <c r="F3" i="6"/>
  <c r="G55" i="5"/>
  <c r="G54" i="5"/>
  <c r="G52" i="5"/>
  <c r="G51" i="5"/>
  <c r="H4" i="5"/>
  <c r="A22" i="5"/>
  <c r="K22" i="5" s="1"/>
  <c r="F3" i="5"/>
  <c r="C6" i="5"/>
  <c r="E12" i="9" s="1"/>
  <c r="T39" i="5"/>
  <c r="K39" i="5"/>
  <c r="T38" i="5"/>
  <c r="K38" i="5"/>
  <c r="T37" i="5"/>
  <c r="K37" i="5"/>
  <c r="T36" i="5"/>
  <c r="K36" i="5"/>
  <c r="T35" i="5"/>
  <c r="K35" i="5"/>
  <c r="T34" i="5"/>
  <c r="K34" i="5"/>
  <c r="T33" i="5"/>
  <c r="K33" i="5"/>
  <c r="T32" i="5"/>
  <c r="K32" i="5"/>
  <c r="T31" i="5"/>
  <c r="K31" i="5"/>
  <c r="T30" i="5"/>
  <c r="K30" i="5"/>
  <c r="T29" i="5"/>
  <c r="K29" i="5"/>
  <c r="T28" i="5"/>
  <c r="K28" i="5"/>
  <c r="T27" i="5"/>
  <c r="K27" i="5"/>
  <c r="T26" i="5"/>
  <c r="K26" i="5"/>
  <c r="T25" i="5"/>
  <c r="K25" i="5"/>
  <c r="A24" i="5"/>
  <c r="K24" i="5" s="1"/>
  <c r="A21" i="5"/>
  <c r="K21" i="5" s="1"/>
  <c r="A18" i="5"/>
  <c r="A17" i="5"/>
  <c r="T17" i="5" s="1"/>
  <c r="A16" i="5"/>
  <c r="K16" i="5" s="1"/>
  <c r="A14" i="5"/>
  <c r="A13" i="5"/>
  <c r="T13" i="5" s="1"/>
  <c r="O12" i="5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A12" i="5"/>
  <c r="G6" i="5"/>
  <c r="F12" i="9" s="1"/>
  <c r="F4" i="5"/>
  <c r="G55" i="4"/>
  <c r="G54" i="4"/>
  <c r="G53" i="4"/>
  <c r="G48" i="4" s="1"/>
  <c r="G52" i="4"/>
  <c r="G51" i="4"/>
  <c r="L48" i="4"/>
  <c r="H4" i="4" s="1"/>
  <c r="H48" i="4"/>
  <c r="A21" i="4" s="1"/>
  <c r="F48" i="4"/>
  <c r="F4" i="4" s="1"/>
  <c r="E48" i="4"/>
  <c r="F3" i="4" s="1"/>
  <c r="D48" i="4"/>
  <c r="C48" i="4"/>
  <c r="C6" i="4" s="1"/>
  <c r="A48" i="4"/>
  <c r="T39" i="4"/>
  <c r="K39" i="4"/>
  <c r="T38" i="4"/>
  <c r="K38" i="4"/>
  <c r="T37" i="4"/>
  <c r="K37" i="4"/>
  <c r="T36" i="4"/>
  <c r="K36" i="4"/>
  <c r="T35" i="4"/>
  <c r="K35" i="4"/>
  <c r="T34" i="4"/>
  <c r="K34" i="4"/>
  <c r="T33" i="4"/>
  <c r="K33" i="4"/>
  <c r="T32" i="4"/>
  <c r="K32" i="4"/>
  <c r="T31" i="4"/>
  <c r="K31" i="4"/>
  <c r="T30" i="4"/>
  <c r="K30" i="4"/>
  <c r="T29" i="4"/>
  <c r="K29" i="4"/>
  <c r="T28" i="4"/>
  <c r="K28" i="4"/>
  <c r="T27" i="4"/>
  <c r="K27" i="4"/>
  <c r="T26" i="4"/>
  <c r="K26" i="4"/>
  <c r="T25" i="4"/>
  <c r="K25" i="4"/>
  <c r="O12" i="4"/>
  <c r="O13" i="4" s="1"/>
  <c r="O14" i="4" s="1"/>
  <c r="O15" i="4" s="1"/>
  <c r="O16" i="4" s="1"/>
  <c r="G55" i="3"/>
  <c r="G54" i="3"/>
  <c r="G53" i="3"/>
  <c r="G52" i="3"/>
  <c r="G51" i="3"/>
  <c r="I48" i="3"/>
  <c r="H4" i="3" s="1"/>
  <c r="H48" i="3"/>
  <c r="A23" i="3" s="1"/>
  <c r="T23" i="3" s="1"/>
  <c r="G48" i="3"/>
  <c r="F48" i="3"/>
  <c r="F4" i="3" s="1"/>
  <c r="E48" i="3"/>
  <c r="F3" i="3" s="1"/>
  <c r="D48" i="3"/>
  <c r="G6" i="3" s="1"/>
  <c r="C48" i="3"/>
  <c r="C6" i="3" s="1"/>
  <c r="A48" i="3"/>
  <c r="T39" i="3"/>
  <c r="K39" i="3"/>
  <c r="T38" i="3"/>
  <c r="K38" i="3"/>
  <c r="T37" i="3"/>
  <c r="K37" i="3"/>
  <c r="T36" i="3"/>
  <c r="K36" i="3"/>
  <c r="T35" i="3"/>
  <c r="K35" i="3"/>
  <c r="T34" i="3"/>
  <c r="K34" i="3"/>
  <c r="T33" i="3"/>
  <c r="K33" i="3"/>
  <c r="T32" i="3"/>
  <c r="K32" i="3"/>
  <c r="T31" i="3"/>
  <c r="K31" i="3"/>
  <c r="T30" i="3"/>
  <c r="K30" i="3"/>
  <c r="T29" i="3"/>
  <c r="K29" i="3"/>
  <c r="T28" i="3"/>
  <c r="K28" i="3"/>
  <c r="T27" i="3"/>
  <c r="K27" i="3"/>
  <c r="T26" i="3"/>
  <c r="K26" i="3"/>
  <c r="T25" i="3"/>
  <c r="K25" i="3"/>
  <c r="O12" i="3"/>
  <c r="O13" i="3" s="1"/>
  <c r="O14" i="3" s="1"/>
  <c r="O15" i="3" s="1"/>
  <c r="F39" i="4" l="1"/>
  <c r="G6" i="4"/>
  <c r="H13" i="10"/>
  <c r="I13" i="10" s="1"/>
  <c r="F18" i="9"/>
  <c r="F25" i="9"/>
  <c r="F21" i="9"/>
  <c r="F26" i="9"/>
  <c r="F30" i="9"/>
  <c r="F31" i="9"/>
  <c r="F20" i="9"/>
  <c r="F16" i="9"/>
  <c r="F19" i="9"/>
  <c r="F29" i="9"/>
  <c r="F27" i="9"/>
  <c r="F13" i="9"/>
  <c r="F15" i="9"/>
  <c r="F23" i="9"/>
  <c r="F22" i="9"/>
  <c r="F28" i="9"/>
  <c r="F17" i="9"/>
  <c r="F14" i="9"/>
  <c r="F24" i="9"/>
  <c r="T21" i="5"/>
  <c r="A13" i="6"/>
  <c r="T13" i="6" s="1"/>
  <c r="A11" i="7"/>
  <c r="K11" i="7" s="1"/>
  <c r="A21" i="7"/>
  <c r="J21" i="7" s="1"/>
  <c r="J33" i="7"/>
  <c r="D17" i="10"/>
  <c r="E17" i="10" s="1"/>
  <c r="E16" i="9"/>
  <c r="E13" i="9"/>
  <c r="E21" i="9"/>
  <c r="E25" i="9"/>
  <c r="E29" i="9"/>
  <c r="E20" i="9"/>
  <c r="E19" i="9"/>
  <c r="E23" i="9"/>
  <c r="E26" i="9"/>
  <c r="E15" i="9"/>
  <c r="E18" i="9"/>
  <c r="E22" i="9"/>
  <c r="E28" i="9"/>
  <c r="E31" i="9"/>
  <c r="E14" i="9"/>
  <c r="E17" i="9"/>
  <c r="E24" i="9"/>
  <c r="E27" i="9"/>
  <c r="E30" i="9"/>
  <c r="A14" i="6"/>
  <c r="A16" i="7"/>
  <c r="K16" i="7" s="1"/>
  <c r="J25" i="7"/>
  <c r="F13" i="8"/>
  <c r="H22" i="10"/>
  <c r="I22" i="10" s="1"/>
  <c r="G17" i="10"/>
  <c r="H17" i="10" s="1"/>
  <c r="I17" i="10" s="1"/>
  <c r="H12" i="10"/>
  <c r="I12" i="10" s="1"/>
  <c r="A14" i="4"/>
  <c r="T14" i="4" s="1"/>
  <c r="A18" i="4"/>
  <c r="T18" i="4" s="1"/>
  <c r="C12" i="10"/>
  <c r="D12" i="10" s="1"/>
  <c r="E12" i="10" s="1"/>
  <c r="G11" i="10"/>
  <c r="H11" i="10" s="1"/>
  <c r="I11" i="10" s="1"/>
  <c r="C11" i="10"/>
  <c r="D11" i="10" s="1"/>
  <c r="E11" i="10" s="1"/>
  <c r="G24" i="10"/>
  <c r="H24" i="10" s="1"/>
  <c r="I24" i="10" s="1"/>
  <c r="C24" i="10"/>
  <c r="D24" i="10" s="1"/>
  <c r="E24" i="10" s="1"/>
  <c r="G16" i="10"/>
  <c r="H16" i="10" s="1"/>
  <c r="I16" i="10" s="1"/>
  <c r="C16" i="10"/>
  <c r="D16" i="10" s="1"/>
  <c r="E16" i="10" s="1"/>
  <c r="U14" i="10"/>
  <c r="C20" i="10"/>
  <c r="D20" i="10" s="1"/>
  <c r="E20" i="10" s="1"/>
  <c r="G20" i="10"/>
  <c r="H20" i="10" s="1"/>
  <c r="I20" i="10" s="1"/>
  <c r="G19" i="10"/>
  <c r="H19" i="10" s="1"/>
  <c r="I19" i="10" s="1"/>
  <c r="C19" i="10"/>
  <c r="D19" i="10" s="1"/>
  <c r="E19" i="10" s="1"/>
  <c r="U15" i="10"/>
  <c r="G18" i="10"/>
  <c r="C18" i="10"/>
  <c r="D18" i="10" s="1"/>
  <c r="E18" i="10" s="1"/>
  <c r="C15" i="10"/>
  <c r="D15" i="10" s="1"/>
  <c r="E15" i="10" s="1"/>
  <c r="G15" i="10"/>
  <c r="H15" i="10" s="1"/>
  <c r="I15" i="10" s="1"/>
  <c r="H18" i="10"/>
  <c r="I18" i="10" s="1"/>
  <c r="C23" i="10"/>
  <c r="D23" i="10" s="1"/>
  <c r="E23" i="10" s="1"/>
  <c r="G23" i="10"/>
  <c r="H23" i="10" s="1"/>
  <c r="I23" i="10" s="1"/>
  <c r="U19" i="10"/>
  <c r="C14" i="10"/>
  <c r="D14" i="10" s="1"/>
  <c r="E14" i="10" s="1"/>
  <c r="G14" i="10"/>
  <c r="H14" i="10" s="1"/>
  <c r="I14" i="10" s="1"/>
  <c r="A18" i="6"/>
  <c r="T18" i="6" s="1"/>
  <c r="A17" i="6"/>
  <c r="T17" i="6" s="1"/>
  <c r="A22" i="6"/>
  <c r="J22" i="6" s="1"/>
  <c r="A18" i="3"/>
  <c r="A22" i="3"/>
  <c r="K22" i="3" s="1"/>
  <c r="A15" i="3"/>
  <c r="T15" i="3" s="1"/>
  <c r="A12" i="3"/>
  <c r="F12" i="3" s="1"/>
  <c r="A17" i="3"/>
  <c r="J17" i="3" s="1"/>
  <c r="A20" i="3"/>
  <c r="B20" i="3" s="1"/>
  <c r="U20" i="3" s="1"/>
  <c r="A14" i="3"/>
  <c r="P14" i="3" s="1"/>
  <c r="A21" i="3"/>
  <c r="K21" i="3" s="1"/>
  <c r="A24" i="3"/>
  <c r="T24" i="3" s="1"/>
  <c r="A11" i="3"/>
  <c r="T11" i="3" s="1"/>
  <c r="A13" i="3"/>
  <c r="T13" i="3" s="1"/>
  <c r="A16" i="3"/>
  <c r="J16" i="3" s="1"/>
  <c r="A19" i="3"/>
  <c r="T19" i="3" s="1"/>
  <c r="J11" i="3"/>
  <c r="J19" i="3"/>
  <c r="J12" i="3"/>
  <c r="J23" i="3"/>
  <c r="A20" i="4"/>
  <c r="T20" i="4" s="1"/>
  <c r="A11" i="4"/>
  <c r="B11" i="4" s="1"/>
  <c r="A13" i="4"/>
  <c r="T13" i="4" s="1"/>
  <c r="A17" i="4"/>
  <c r="J17" i="4" s="1"/>
  <c r="A22" i="4"/>
  <c r="B14" i="4"/>
  <c r="U14" i="4" s="1"/>
  <c r="A12" i="4"/>
  <c r="T12" i="4" s="1"/>
  <c r="A16" i="4"/>
  <c r="K16" i="4" s="1"/>
  <c r="P13" i="4"/>
  <c r="C13" i="4" s="1"/>
  <c r="F14" i="4"/>
  <c r="T17" i="4"/>
  <c r="A11" i="5"/>
  <c r="F11" i="5" s="1"/>
  <c r="A15" i="5"/>
  <c r="P15" i="5" s="1"/>
  <c r="J17" i="5"/>
  <c r="A19" i="5"/>
  <c r="T19" i="5" s="1"/>
  <c r="A23" i="5"/>
  <c r="F23" i="5" s="1"/>
  <c r="K17" i="5"/>
  <c r="A20" i="5"/>
  <c r="B20" i="5" s="1"/>
  <c r="U20" i="5" s="1"/>
  <c r="F27" i="6"/>
  <c r="A12" i="6"/>
  <c r="B12" i="6" s="1"/>
  <c r="F13" i="6"/>
  <c r="A16" i="6"/>
  <c r="P16" i="6" s="1"/>
  <c r="G16" i="6" s="1"/>
  <c r="A21" i="6"/>
  <c r="J21" i="6" s="1"/>
  <c r="F29" i="6"/>
  <c r="F31" i="6"/>
  <c r="F25" i="6"/>
  <c r="F33" i="6"/>
  <c r="J11" i="7"/>
  <c r="A14" i="7"/>
  <c r="J18" i="7"/>
  <c r="T23" i="7"/>
  <c r="A12" i="7"/>
  <c r="F12" i="7" s="1"/>
  <c r="A17" i="7"/>
  <c r="F17" i="7" s="1"/>
  <c r="T18" i="7"/>
  <c r="A22" i="7"/>
  <c r="K22" i="7" s="1"/>
  <c r="A24" i="7"/>
  <c r="K24" i="7" s="1"/>
  <c r="A13" i="7"/>
  <c r="A20" i="7"/>
  <c r="K20" i="7" s="1"/>
  <c r="F15" i="8"/>
  <c r="K17" i="8"/>
  <c r="T21" i="8"/>
  <c r="A12" i="8"/>
  <c r="T12" i="8" s="1"/>
  <c r="A16" i="8"/>
  <c r="J16" i="8" s="1"/>
  <c r="A20" i="8"/>
  <c r="P20" i="8" s="1"/>
  <c r="A22" i="8"/>
  <c r="K22" i="8" s="1"/>
  <c r="O21" i="8"/>
  <c r="O22" i="8" s="1"/>
  <c r="O23" i="8" s="1"/>
  <c r="O24" i="8" s="1"/>
  <c r="O25" i="8" s="1"/>
  <c r="O26" i="8" s="1"/>
  <c r="O27" i="8" s="1"/>
  <c r="O28" i="8" s="1"/>
  <c r="O29" i="8" s="1"/>
  <c r="O30" i="8" s="1"/>
  <c r="O31" i="8" s="1"/>
  <c r="O32" i="8" s="1"/>
  <c r="O33" i="8" s="1"/>
  <c r="O34" i="8" s="1"/>
  <c r="O35" i="8" s="1"/>
  <c r="O36" i="8" s="1"/>
  <c r="O37" i="8" s="1"/>
  <c r="O38" i="8" s="1"/>
  <c r="O39" i="8" s="1"/>
  <c r="B38" i="8"/>
  <c r="U38" i="8" s="1"/>
  <c r="B36" i="8"/>
  <c r="U36" i="8" s="1"/>
  <c r="B34" i="8"/>
  <c r="U34" i="8" s="1"/>
  <c r="B32" i="8"/>
  <c r="U32" i="8" s="1"/>
  <c r="B30" i="8"/>
  <c r="U30" i="8" s="1"/>
  <c r="B28" i="8"/>
  <c r="U28" i="8" s="1"/>
  <c r="B26" i="8"/>
  <c r="U26" i="8" s="1"/>
  <c r="B24" i="8"/>
  <c r="U24" i="8" s="1"/>
  <c r="B20" i="8"/>
  <c r="U20" i="8" s="1"/>
  <c r="B39" i="8"/>
  <c r="U39" i="8" s="1"/>
  <c r="B37" i="8"/>
  <c r="U37" i="8" s="1"/>
  <c r="B35" i="8"/>
  <c r="U35" i="8" s="1"/>
  <c r="B33" i="8"/>
  <c r="U33" i="8" s="1"/>
  <c r="B31" i="8"/>
  <c r="U31" i="8" s="1"/>
  <c r="B29" i="8"/>
  <c r="U29" i="8" s="1"/>
  <c r="B27" i="8"/>
  <c r="U27" i="8" s="1"/>
  <c r="B25" i="8"/>
  <c r="U25" i="8" s="1"/>
  <c r="B18" i="8"/>
  <c r="U18" i="8" s="1"/>
  <c r="B14" i="8"/>
  <c r="U14" i="8" s="1"/>
  <c r="B21" i="8"/>
  <c r="U21" i="8" s="1"/>
  <c r="B19" i="8"/>
  <c r="U19" i="8" s="1"/>
  <c r="B11" i="8"/>
  <c r="U11" i="8" s="1"/>
  <c r="B15" i="8"/>
  <c r="U15" i="8" s="1"/>
  <c r="B12" i="8"/>
  <c r="B13" i="8"/>
  <c r="B17" i="8"/>
  <c r="U17" i="8" s="1"/>
  <c r="B23" i="8"/>
  <c r="U23" i="8" s="1"/>
  <c r="B16" i="8"/>
  <c r="P39" i="8"/>
  <c r="J38" i="8"/>
  <c r="J36" i="8"/>
  <c r="J34" i="8"/>
  <c r="J32" i="8"/>
  <c r="J30" i="8"/>
  <c r="J28" i="8"/>
  <c r="J26" i="8"/>
  <c r="J39" i="8"/>
  <c r="J37" i="8"/>
  <c r="J35" i="8"/>
  <c r="J33" i="8"/>
  <c r="J31" i="8"/>
  <c r="J29" i="8"/>
  <c r="J27" i="8"/>
  <c r="J25" i="8"/>
  <c r="J21" i="8"/>
  <c r="J19" i="8"/>
  <c r="J17" i="8"/>
  <c r="K12" i="8"/>
  <c r="J12" i="8"/>
  <c r="J13" i="8"/>
  <c r="K15" i="8"/>
  <c r="J15" i="8"/>
  <c r="T15" i="8"/>
  <c r="P15" i="8"/>
  <c r="P18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J23" i="8"/>
  <c r="P24" i="8"/>
  <c r="P11" i="8"/>
  <c r="F38" i="8"/>
  <c r="F36" i="8"/>
  <c r="F34" i="8"/>
  <c r="F32" i="8"/>
  <c r="F30" i="8"/>
  <c r="F28" i="8"/>
  <c r="F26" i="8"/>
  <c r="F24" i="8"/>
  <c r="F39" i="8"/>
  <c r="F37" i="8"/>
  <c r="F35" i="8"/>
  <c r="F33" i="8"/>
  <c r="F31" i="8"/>
  <c r="F29" i="8"/>
  <c r="F27" i="8"/>
  <c r="F25" i="8"/>
  <c r="F18" i="8"/>
  <c r="F14" i="8"/>
  <c r="F17" i="8"/>
  <c r="F16" i="8"/>
  <c r="F11" i="8"/>
  <c r="F21" i="8"/>
  <c r="F23" i="8"/>
  <c r="F19" i="8"/>
  <c r="P16" i="8"/>
  <c r="T14" i="8"/>
  <c r="J14" i="8"/>
  <c r="T11" i="8"/>
  <c r="P14" i="8"/>
  <c r="T18" i="8"/>
  <c r="J18" i="8"/>
  <c r="P19" i="8"/>
  <c r="T20" i="8"/>
  <c r="P21" i="8"/>
  <c r="J11" i="8"/>
  <c r="P13" i="8"/>
  <c r="T13" i="8"/>
  <c r="P17" i="8"/>
  <c r="K18" i="8"/>
  <c r="P23" i="8"/>
  <c r="T24" i="8"/>
  <c r="J24" i="8"/>
  <c r="K19" i="8"/>
  <c r="K23" i="8"/>
  <c r="P27" i="7"/>
  <c r="P11" i="7"/>
  <c r="P14" i="7"/>
  <c r="B38" i="7"/>
  <c r="U38" i="7" s="1"/>
  <c r="B36" i="7"/>
  <c r="U36" i="7" s="1"/>
  <c r="B34" i="7"/>
  <c r="U34" i="7" s="1"/>
  <c r="B32" i="7"/>
  <c r="U32" i="7" s="1"/>
  <c r="B30" i="7"/>
  <c r="U30" i="7" s="1"/>
  <c r="B28" i="7"/>
  <c r="U28" i="7" s="1"/>
  <c r="B26" i="7"/>
  <c r="U26" i="7" s="1"/>
  <c r="B20" i="7"/>
  <c r="U20" i="7" s="1"/>
  <c r="B16" i="7"/>
  <c r="B13" i="7"/>
  <c r="B37" i="7"/>
  <c r="U37" i="7" s="1"/>
  <c r="B33" i="7"/>
  <c r="U33" i="7" s="1"/>
  <c r="B29" i="7"/>
  <c r="U29" i="7" s="1"/>
  <c r="B25" i="7"/>
  <c r="U25" i="7" s="1"/>
  <c r="B21" i="7"/>
  <c r="U21" i="7" s="1"/>
  <c r="B14" i="7"/>
  <c r="U14" i="7" s="1"/>
  <c r="B22" i="7"/>
  <c r="U22" i="7" s="1"/>
  <c r="B17" i="7"/>
  <c r="U17" i="7" s="1"/>
  <c r="B39" i="7"/>
  <c r="U39" i="7" s="1"/>
  <c r="B35" i="7"/>
  <c r="U35" i="7" s="1"/>
  <c r="F38" i="7"/>
  <c r="F36" i="7"/>
  <c r="F34" i="7"/>
  <c r="F32" i="7"/>
  <c r="F30" i="7"/>
  <c r="F28" i="7"/>
  <c r="F26" i="7"/>
  <c r="F24" i="7"/>
  <c r="F16" i="7"/>
  <c r="F39" i="7"/>
  <c r="F35" i="7"/>
  <c r="F31" i="7"/>
  <c r="F27" i="7"/>
  <c r="F23" i="7"/>
  <c r="F18" i="7"/>
  <c r="F13" i="7"/>
  <c r="F14" i="7"/>
  <c r="F37" i="7"/>
  <c r="F33" i="7"/>
  <c r="F29" i="7"/>
  <c r="F25" i="7"/>
  <c r="F21" i="7"/>
  <c r="F11" i="7"/>
  <c r="B23" i="7"/>
  <c r="U23" i="7" s="1"/>
  <c r="B27" i="7"/>
  <c r="U27" i="7" s="1"/>
  <c r="P36" i="7"/>
  <c r="P32" i="7"/>
  <c r="P28" i="7"/>
  <c r="P37" i="7"/>
  <c r="P33" i="7"/>
  <c r="P29" i="7"/>
  <c r="P25" i="7"/>
  <c r="P21" i="7"/>
  <c r="P16" i="7"/>
  <c r="P38" i="7"/>
  <c r="P34" i="7"/>
  <c r="P30" i="7"/>
  <c r="P26" i="7"/>
  <c r="P39" i="7"/>
  <c r="P35" i="7"/>
  <c r="P18" i="7"/>
  <c r="J22" i="7"/>
  <c r="T22" i="7"/>
  <c r="P22" i="7"/>
  <c r="P31" i="7"/>
  <c r="B11" i="7"/>
  <c r="K17" i="7"/>
  <c r="J17" i="7"/>
  <c r="T17" i="7"/>
  <c r="P17" i="7"/>
  <c r="B18" i="7"/>
  <c r="U18" i="7" s="1"/>
  <c r="F22" i="7"/>
  <c r="B31" i="7"/>
  <c r="U31" i="7" s="1"/>
  <c r="J38" i="7"/>
  <c r="J36" i="7"/>
  <c r="J34" i="7"/>
  <c r="J32" i="7"/>
  <c r="J30" i="7"/>
  <c r="J28" i="7"/>
  <c r="J26" i="7"/>
  <c r="T11" i="7"/>
  <c r="J14" i="7"/>
  <c r="T16" i="7"/>
  <c r="J16" i="7"/>
  <c r="K21" i="7"/>
  <c r="P23" i="7"/>
  <c r="P13" i="7"/>
  <c r="J20" i="7"/>
  <c r="J27" i="7"/>
  <c r="J31" i="7"/>
  <c r="J35" i="7"/>
  <c r="J39" i="7"/>
  <c r="J13" i="7"/>
  <c r="P20" i="7"/>
  <c r="T21" i="7"/>
  <c r="T24" i="7"/>
  <c r="A15" i="7"/>
  <c r="F15" i="7" s="1"/>
  <c r="A19" i="7"/>
  <c r="P11" i="6"/>
  <c r="K11" i="6"/>
  <c r="J11" i="6"/>
  <c r="F11" i="6"/>
  <c r="B38" i="6"/>
  <c r="U38" i="6" s="1"/>
  <c r="B36" i="6"/>
  <c r="U36" i="6" s="1"/>
  <c r="B34" i="6"/>
  <c r="U34" i="6" s="1"/>
  <c r="B32" i="6"/>
  <c r="U32" i="6" s="1"/>
  <c r="B30" i="6"/>
  <c r="U30" i="6" s="1"/>
  <c r="B28" i="6"/>
  <c r="U28" i="6" s="1"/>
  <c r="B26" i="6"/>
  <c r="U26" i="6" s="1"/>
  <c r="B39" i="6"/>
  <c r="U39" i="6" s="1"/>
  <c r="B37" i="6"/>
  <c r="U37" i="6" s="1"/>
  <c r="B35" i="6"/>
  <c r="U35" i="6" s="1"/>
  <c r="B33" i="6"/>
  <c r="U33" i="6" s="1"/>
  <c r="B31" i="6"/>
  <c r="U31" i="6" s="1"/>
  <c r="B29" i="6"/>
  <c r="U29" i="6" s="1"/>
  <c r="B27" i="6"/>
  <c r="U27" i="6" s="1"/>
  <c r="B25" i="6"/>
  <c r="U25" i="6" s="1"/>
  <c r="B18" i="6"/>
  <c r="U18" i="6" s="1"/>
  <c r="B13" i="6"/>
  <c r="U13" i="6" s="1"/>
  <c r="B22" i="6"/>
  <c r="U22" i="6" s="1"/>
  <c r="B14" i="6"/>
  <c r="B11" i="6"/>
  <c r="T14" i="6"/>
  <c r="P14" i="6"/>
  <c r="K14" i="6"/>
  <c r="F14" i="6"/>
  <c r="O18" i="6"/>
  <c r="J14" i="6"/>
  <c r="J38" i="6"/>
  <c r="J36" i="6"/>
  <c r="J34" i="6"/>
  <c r="J32" i="6"/>
  <c r="J30" i="6"/>
  <c r="J28" i="6"/>
  <c r="J26" i="6"/>
  <c r="P13" i="6"/>
  <c r="F18" i="6"/>
  <c r="T21" i="6"/>
  <c r="F35" i="6"/>
  <c r="F37" i="6"/>
  <c r="A23" i="6"/>
  <c r="B23" i="6" s="1"/>
  <c r="U23" i="6" s="1"/>
  <c r="A19" i="6"/>
  <c r="A15" i="6"/>
  <c r="B15" i="6" s="1"/>
  <c r="A24" i="6"/>
  <c r="A20" i="6"/>
  <c r="B20" i="6" s="1"/>
  <c r="U20" i="6" s="1"/>
  <c r="K22" i="6"/>
  <c r="J13" i="6"/>
  <c r="K18" i="6"/>
  <c r="F38" i="6"/>
  <c r="F36" i="6"/>
  <c r="F34" i="6"/>
  <c r="F32" i="6"/>
  <c r="F30" i="6"/>
  <c r="F28" i="6"/>
  <c r="F26" i="6"/>
  <c r="J12" i="6"/>
  <c r="K13" i="6"/>
  <c r="K16" i="6"/>
  <c r="J18" i="6"/>
  <c r="F22" i="6"/>
  <c r="T22" i="6"/>
  <c r="J25" i="6"/>
  <c r="J27" i="6"/>
  <c r="J29" i="6"/>
  <c r="J31" i="6"/>
  <c r="J33" i="6"/>
  <c r="J35" i="6"/>
  <c r="J37" i="6"/>
  <c r="J39" i="6"/>
  <c r="P37" i="5"/>
  <c r="B38" i="5"/>
  <c r="B36" i="5"/>
  <c r="B34" i="5"/>
  <c r="B32" i="5"/>
  <c r="B30" i="5"/>
  <c r="B28" i="5"/>
  <c r="B26" i="5"/>
  <c r="B24" i="5"/>
  <c r="B39" i="5"/>
  <c r="B37" i="5"/>
  <c r="B35" i="5"/>
  <c r="B33" i="5"/>
  <c r="B31" i="5"/>
  <c r="B29" i="5"/>
  <c r="B27" i="5"/>
  <c r="B25" i="5"/>
  <c r="B22" i="5"/>
  <c r="B18" i="5"/>
  <c r="U18" i="5" s="1"/>
  <c r="B14" i="5"/>
  <c r="U14" i="5" s="1"/>
  <c r="B21" i="5"/>
  <c r="B16" i="5"/>
  <c r="U16" i="5" s="1"/>
  <c r="B17" i="5"/>
  <c r="B13" i="5"/>
  <c r="U13" i="5" s="1"/>
  <c r="B12" i="5"/>
  <c r="U12" i="5" s="1"/>
  <c r="P16" i="5"/>
  <c r="F38" i="5"/>
  <c r="F36" i="5"/>
  <c r="F34" i="5"/>
  <c r="F32" i="5"/>
  <c r="F30" i="5"/>
  <c r="F28" i="5"/>
  <c r="F26" i="5"/>
  <c r="F24" i="5"/>
  <c r="F39" i="5"/>
  <c r="F37" i="5"/>
  <c r="F35" i="5"/>
  <c r="F33" i="5"/>
  <c r="F31" i="5"/>
  <c r="F29" i="5"/>
  <c r="F27" i="5"/>
  <c r="F25" i="5"/>
  <c r="F22" i="5"/>
  <c r="F18" i="5"/>
  <c r="F14" i="5"/>
  <c r="K12" i="5"/>
  <c r="T18" i="5"/>
  <c r="J18" i="5"/>
  <c r="K18" i="5"/>
  <c r="P30" i="5"/>
  <c r="P34" i="5"/>
  <c r="P12" i="5"/>
  <c r="F16" i="5"/>
  <c r="P27" i="5"/>
  <c r="P31" i="5"/>
  <c r="P35" i="5"/>
  <c r="P39" i="5"/>
  <c r="F12" i="5"/>
  <c r="P18" i="5"/>
  <c r="F19" i="5"/>
  <c r="T20" i="5"/>
  <c r="P20" i="5"/>
  <c r="F21" i="5"/>
  <c r="P22" i="5"/>
  <c r="P26" i="5"/>
  <c r="P38" i="5"/>
  <c r="J38" i="5"/>
  <c r="J36" i="5"/>
  <c r="J34" i="5"/>
  <c r="J32" i="5"/>
  <c r="J30" i="5"/>
  <c r="J28" i="5"/>
  <c r="J26" i="5"/>
  <c r="J39" i="5"/>
  <c r="J37" i="5"/>
  <c r="J35" i="5"/>
  <c r="J33" i="5"/>
  <c r="J31" i="5"/>
  <c r="J29" i="5"/>
  <c r="J27" i="5"/>
  <c r="J25" i="5"/>
  <c r="J21" i="5"/>
  <c r="T12" i="5"/>
  <c r="J13" i="5"/>
  <c r="T14" i="5"/>
  <c r="J14" i="5"/>
  <c r="P14" i="5"/>
  <c r="K15" i="5"/>
  <c r="J16" i="5"/>
  <c r="T16" i="5"/>
  <c r="F17" i="5"/>
  <c r="P28" i="5"/>
  <c r="P32" i="5"/>
  <c r="P36" i="5"/>
  <c r="J12" i="5"/>
  <c r="P13" i="5"/>
  <c r="F13" i="5"/>
  <c r="K13" i="5"/>
  <c r="K14" i="5"/>
  <c r="P17" i="5"/>
  <c r="P24" i="5"/>
  <c r="P25" i="5"/>
  <c r="P29" i="5"/>
  <c r="P33" i="5"/>
  <c r="P21" i="5"/>
  <c r="T22" i="5"/>
  <c r="J22" i="5"/>
  <c r="T24" i="5"/>
  <c r="J24" i="5"/>
  <c r="O17" i="4"/>
  <c r="O18" i="4" s="1"/>
  <c r="O19" i="4" s="1"/>
  <c r="O20" i="4" s="1"/>
  <c r="O21" i="4" s="1"/>
  <c r="O22" i="4" s="1"/>
  <c r="O23" i="4" s="1"/>
  <c r="O24" i="4" s="1"/>
  <c r="O25" i="4" s="1"/>
  <c r="O26" i="4" s="1"/>
  <c r="O27" i="4" s="1"/>
  <c r="O28" i="4" s="1"/>
  <c r="O29" i="4" s="1"/>
  <c r="O30" i="4" s="1"/>
  <c r="O31" i="4" s="1"/>
  <c r="O32" i="4" s="1"/>
  <c r="O33" i="4" s="1"/>
  <c r="O34" i="4" s="1"/>
  <c r="O35" i="4" s="1"/>
  <c r="O36" i="4" s="1"/>
  <c r="O37" i="4" s="1"/>
  <c r="O38" i="4" s="1"/>
  <c r="O39" i="4" s="1"/>
  <c r="P16" i="4"/>
  <c r="B38" i="4"/>
  <c r="B36" i="4"/>
  <c r="B34" i="4"/>
  <c r="B32" i="4"/>
  <c r="B30" i="4"/>
  <c r="B28" i="4"/>
  <c r="B26" i="4"/>
  <c r="B16" i="4"/>
  <c r="B21" i="4"/>
  <c r="B39" i="4"/>
  <c r="B37" i="4"/>
  <c r="B35" i="4"/>
  <c r="B33" i="4"/>
  <c r="B31" i="4"/>
  <c r="B29" i="4"/>
  <c r="B27" i="4"/>
  <c r="B25" i="4"/>
  <c r="B17" i="4"/>
  <c r="U17" i="4" s="1"/>
  <c r="B12" i="4"/>
  <c r="P39" i="4"/>
  <c r="J13" i="4"/>
  <c r="J38" i="4"/>
  <c r="J36" i="4"/>
  <c r="J34" i="4"/>
  <c r="J32" i="4"/>
  <c r="J30" i="4"/>
  <c r="J28" i="4"/>
  <c r="J26" i="4"/>
  <c r="P12" i="4"/>
  <c r="P14" i="4"/>
  <c r="K21" i="4"/>
  <c r="T21" i="4"/>
  <c r="J21" i="4"/>
  <c r="F25" i="4"/>
  <c r="P25" i="4"/>
  <c r="F27" i="4"/>
  <c r="P27" i="4"/>
  <c r="F29" i="4"/>
  <c r="P29" i="4"/>
  <c r="F31" i="4"/>
  <c r="P31" i="4"/>
  <c r="F33" i="4"/>
  <c r="P33" i="4"/>
  <c r="F35" i="4"/>
  <c r="P35" i="4"/>
  <c r="F37" i="4"/>
  <c r="P37" i="4"/>
  <c r="A23" i="4"/>
  <c r="F23" i="4" s="1"/>
  <c r="A19" i="4"/>
  <c r="A15" i="4"/>
  <c r="A24" i="4"/>
  <c r="P38" i="4"/>
  <c r="P36" i="4"/>
  <c r="P34" i="4"/>
  <c r="P32" i="4"/>
  <c r="P30" i="4"/>
  <c r="P28" i="4"/>
  <c r="P26" i="4"/>
  <c r="F38" i="4"/>
  <c r="F36" i="4"/>
  <c r="F34" i="4"/>
  <c r="F32" i="4"/>
  <c r="F30" i="4"/>
  <c r="F28" i="4"/>
  <c r="F26" i="4"/>
  <c r="F16" i="4"/>
  <c r="F21" i="4"/>
  <c r="J12" i="4"/>
  <c r="K17" i="4"/>
  <c r="F17" i="4"/>
  <c r="J14" i="4"/>
  <c r="T16" i="4"/>
  <c r="J16" i="4"/>
  <c r="P17" i="4"/>
  <c r="P21" i="4"/>
  <c r="J25" i="4"/>
  <c r="J27" i="4"/>
  <c r="J29" i="4"/>
  <c r="J31" i="4"/>
  <c r="J33" i="4"/>
  <c r="J35" i="4"/>
  <c r="J37" i="4"/>
  <c r="J39" i="4"/>
  <c r="O16" i="3"/>
  <c r="O17" i="3" s="1"/>
  <c r="O18" i="3" s="1"/>
  <c r="O19" i="3" s="1"/>
  <c r="O20" i="3" s="1"/>
  <c r="O21" i="3" s="1"/>
  <c r="O22" i="3" s="1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33" i="3" s="1"/>
  <c r="O34" i="3" s="1"/>
  <c r="O35" i="3" s="1"/>
  <c r="O36" i="3" s="1"/>
  <c r="O37" i="3" s="1"/>
  <c r="O38" i="3" s="1"/>
  <c r="O39" i="3" s="1"/>
  <c r="F39" i="3"/>
  <c r="F37" i="3"/>
  <c r="F35" i="3"/>
  <c r="F33" i="3"/>
  <c r="F31" i="3"/>
  <c r="F29" i="3"/>
  <c r="F27" i="3"/>
  <c r="F25" i="3"/>
  <c r="F22" i="3"/>
  <c r="F18" i="3"/>
  <c r="F19" i="3"/>
  <c r="F38" i="3"/>
  <c r="F36" i="3"/>
  <c r="F34" i="3"/>
  <c r="F32" i="3"/>
  <c r="F30" i="3"/>
  <c r="F23" i="3"/>
  <c r="F13" i="3"/>
  <c r="F28" i="3"/>
  <c r="B39" i="3"/>
  <c r="B37" i="3"/>
  <c r="B35" i="3"/>
  <c r="B33" i="3"/>
  <c r="B31" i="3"/>
  <c r="B29" i="3"/>
  <c r="B27" i="3"/>
  <c r="B25" i="3"/>
  <c r="B22" i="3"/>
  <c r="U22" i="3" s="1"/>
  <c r="B18" i="3"/>
  <c r="B38" i="3"/>
  <c r="B36" i="3"/>
  <c r="B34" i="3"/>
  <c r="B32" i="3"/>
  <c r="B30" i="3"/>
  <c r="B26" i="3"/>
  <c r="B28" i="3"/>
  <c r="B13" i="3"/>
  <c r="P38" i="3"/>
  <c r="P34" i="3"/>
  <c r="P32" i="3"/>
  <c r="P30" i="3"/>
  <c r="P26" i="3"/>
  <c r="P27" i="3"/>
  <c r="P39" i="3"/>
  <c r="P35" i="3"/>
  <c r="P33" i="3"/>
  <c r="P31" i="3"/>
  <c r="K14" i="3"/>
  <c r="B19" i="3"/>
  <c r="U19" i="3" s="1"/>
  <c r="P19" i="3"/>
  <c r="B23" i="3"/>
  <c r="U23" i="3" s="1"/>
  <c r="P23" i="3"/>
  <c r="F26" i="3"/>
  <c r="F17" i="3"/>
  <c r="T18" i="3"/>
  <c r="J18" i="3"/>
  <c r="K18" i="3"/>
  <c r="P18" i="3"/>
  <c r="J20" i="3"/>
  <c r="P22" i="3"/>
  <c r="T20" i="3"/>
  <c r="P24" i="3"/>
  <c r="J39" i="3"/>
  <c r="J37" i="3"/>
  <c r="J35" i="3"/>
  <c r="J33" i="3"/>
  <c r="J31" i="3"/>
  <c r="J29" i="3"/>
  <c r="J27" i="3"/>
  <c r="J25" i="3"/>
  <c r="K23" i="3"/>
  <c r="J26" i="3"/>
  <c r="K19" i="3"/>
  <c r="J28" i="3"/>
  <c r="J30" i="3"/>
  <c r="J32" i="3"/>
  <c r="J34" i="3"/>
  <c r="J36" i="3"/>
  <c r="J38" i="3"/>
  <c r="F22" i="8" l="1"/>
  <c r="T22" i="8"/>
  <c r="P22" i="8"/>
  <c r="J22" i="8"/>
  <c r="G13" i="4"/>
  <c r="K20" i="5"/>
  <c r="B11" i="5"/>
  <c r="U11" i="5" s="1"/>
  <c r="P19" i="5"/>
  <c r="G19" i="5" s="1"/>
  <c r="H19" i="5" s="1"/>
  <c r="I19" i="5" s="1"/>
  <c r="J20" i="5"/>
  <c r="F20" i="5"/>
  <c r="P23" i="5"/>
  <c r="P11" i="5"/>
  <c r="C11" i="5" s="1"/>
  <c r="D11" i="5" s="1"/>
  <c r="E11" i="5" s="1"/>
  <c r="B23" i="5"/>
  <c r="U23" i="5" s="1"/>
  <c r="K23" i="5"/>
  <c r="B22" i="8"/>
  <c r="U22" i="8" s="1"/>
  <c r="P22" i="4"/>
  <c r="C22" i="4" s="1"/>
  <c r="F20" i="4"/>
  <c r="K18" i="4"/>
  <c r="K13" i="4"/>
  <c r="B18" i="4"/>
  <c r="U18" i="4" s="1"/>
  <c r="F18" i="4"/>
  <c r="J18" i="4"/>
  <c r="P18" i="4"/>
  <c r="C18" i="4" s="1"/>
  <c r="B13" i="4"/>
  <c r="U13" i="4" s="1"/>
  <c r="K14" i="4"/>
  <c r="J22" i="4"/>
  <c r="P20" i="4"/>
  <c r="G20" i="4" s="1"/>
  <c r="F22" i="4"/>
  <c r="F12" i="4"/>
  <c r="K22" i="4"/>
  <c r="B22" i="4"/>
  <c r="U22" i="4" s="1"/>
  <c r="K12" i="4"/>
  <c r="F13" i="4"/>
  <c r="H13" i="4" s="1"/>
  <c r="I13" i="4" s="1"/>
  <c r="J20" i="4"/>
  <c r="F17" i="6"/>
  <c r="P17" i="6"/>
  <c r="C17" i="6" s="1"/>
  <c r="K17" i="6"/>
  <c r="J17" i="6"/>
  <c r="B17" i="6"/>
  <c r="U17" i="6" s="1"/>
  <c r="K21" i="6"/>
  <c r="F21" i="6"/>
  <c r="C16" i="6"/>
  <c r="B16" i="6"/>
  <c r="U16" i="6" s="1"/>
  <c r="B21" i="6"/>
  <c r="U21" i="6" s="1"/>
  <c r="F20" i="6"/>
  <c r="J16" i="6"/>
  <c r="J13" i="3"/>
  <c r="B21" i="3"/>
  <c r="U21" i="3" s="1"/>
  <c r="T22" i="3"/>
  <c r="P13" i="3"/>
  <c r="C13" i="3" s="1"/>
  <c r="D13" i="3" s="1"/>
  <c r="E13" i="3" s="1"/>
  <c r="J22" i="3"/>
  <c r="P20" i="3"/>
  <c r="G20" i="3" s="1"/>
  <c r="F20" i="3"/>
  <c r="B12" i="3"/>
  <c r="U12" i="3" s="1"/>
  <c r="K20" i="3"/>
  <c r="B16" i="3"/>
  <c r="U16" i="3" s="1"/>
  <c r="P21" i="3"/>
  <c r="G21" i="3" s="1"/>
  <c r="J21" i="3"/>
  <c r="F21" i="3"/>
  <c r="F16" i="3"/>
  <c r="P15" i="3"/>
  <c r="C15" i="3" s="1"/>
  <c r="T21" i="3"/>
  <c r="P12" i="3"/>
  <c r="C12" i="3" s="1"/>
  <c r="K13" i="3"/>
  <c r="K15" i="3"/>
  <c r="P16" i="3"/>
  <c r="C16" i="3" s="1"/>
  <c r="B24" i="3"/>
  <c r="U24" i="3" s="1"/>
  <c r="K11" i="3"/>
  <c r="J14" i="3"/>
  <c r="B14" i="3"/>
  <c r="F15" i="3"/>
  <c r="F14" i="3"/>
  <c r="J15" i="3"/>
  <c r="B15" i="3"/>
  <c r="U15" i="3" s="1"/>
  <c r="P25" i="3"/>
  <c r="G25" i="3" s="1"/>
  <c r="H25" i="3" s="1"/>
  <c r="I25" i="3" s="1"/>
  <c r="P29" i="3"/>
  <c r="G29" i="3" s="1"/>
  <c r="H29" i="3" s="1"/>
  <c r="I29" i="3" s="1"/>
  <c r="P37" i="3"/>
  <c r="G37" i="3" s="1"/>
  <c r="H37" i="3" s="1"/>
  <c r="I37" i="3" s="1"/>
  <c r="P28" i="3"/>
  <c r="C28" i="3" s="1"/>
  <c r="D28" i="3" s="1"/>
  <c r="E28" i="3" s="1"/>
  <c r="P36" i="3"/>
  <c r="C36" i="3" s="1"/>
  <c r="D36" i="3" s="1"/>
  <c r="E36" i="3" s="1"/>
  <c r="J24" i="3"/>
  <c r="T16" i="3"/>
  <c r="K16" i="3"/>
  <c r="F24" i="3"/>
  <c r="T14" i="3"/>
  <c r="F11" i="3"/>
  <c r="B11" i="3"/>
  <c r="U11" i="3" s="1"/>
  <c r="T17" i="3"/>
  <c r="K17" i="3"/>
  <c r="K24" i="3"/>
  <c r="P11" i="3"/>
  <c r="G11" i="3" s="1"/>
  <c r="B17" i="3"/>
  <c r="U17" i="3" s="1"/>
  <c r="P17" i="3"/>
  <c r="G17" i="3" s="1"/>
  <c r="H17" i="3" s="1"/>
  <c r="I17" i="3" s="1"/>
  <c r="T12" i="3"/>
  <c r="K12" i="3"/>
  <c r="J11" i="4"/>
  <c r="T22" i="4"/>
  <c r="K20" i="4"/>
  <c r="B20" i="4"/>
  <c r="U20" i="4" s="1"/>
  <c r="T11" i="4"/>
  <c r="K11" i="4"/>
  <c r="P11" i="4"/>
  <c r="G11" i="4" s="1"/>
  <c r="F11" i="4"/>
  <c r="K19" i="5"/>
  <c r="J15" i="5"/>
  <c r="F15" i="5"/>
  <c r="B19" i="5"/>
  <c r="U19" i="5" s="1"/>
  <c r="T15" i="5"/>
  <c r="J19" i="5"/>
  <c r="B15" i="5"/>
  <c r="U15" i="5" s="1"/>
  <c r="T23" i="5"/>
  <c r="J23" i="5"/>
  <c r="T11" i="5"/>
  <c r="K11" i="5"/>
  <c r="J11" i="5"/>
  <c r="F12" i="6"/>
  <c r="P12" i="6"/>
  <c r="C12" i="6" s="1"/>
  <c r="D12" i="6" s="1"/>
  <c r="E12" i="6" s="1"/>
  <c r="T16" i="6"/>
  <c r="T12" i="6"/>
  <c r="K12" i="6"/>
  <c r="F16" i="6"/>
  <c r="T20" i="7"/>
  <c r="F20" i="7"/>
  <c r="T13" i="7"/>
  <c r="K13" i="7"/>
  <c r="T14" i="7"/>
  <c r="K14" i="7"/>
  <c r="J12" i="7"/>
  <c r="T12" i="7"/>
  <c r="K12" i="7"/>
  <c r="J24" i="7"/>
  <c r="P24" i="7"/>
  <c r="B12" i="7"/>
  <c r="U12" i="7" s="1"/>
  <c r="P12" i="7"/>
  <c r="B24" i="7"/>
  <c r="F12" i="8"/>
  <c r="P12" i="8"/>
  <c r="G12" i="8" s="1"/>
  <c r="K20" i="8"/>
  <c r="J20" i="8"/>
  <c r="F20" i="8"/>
  <c r="K16" i="8"/>
  <c r="T16" i="8"/>
  <c r="G23" i="8"/>
  <c r="H23" i="8" s="1"/>
  <c r="I23" i="8" s="1"/>
  <c r="C23" i="8"/>
  <c r="D23" i="8" s="1"/>
  <c r="E23" i="8" s="1"/>
  <c r="G14" i="8"/>
  <c r="H14" i="8" s="1"/>
  <c r="I14" i="8" s="1"/>
  <c r="C14" i="8"/>
  <c r="D14" i="8" s="1"/>
  <c r="E14" i="8" s="1"/>
  <c r="G11" i="8"/>
  <c r="H11" i="8" s="1"/>
  <c r="I11" i="8" s="1"/>
  <c r="C11" i="8"/>
  <c r="C32" i="8"/>
  <c r="D32" i="8" s="1"/>
  <c r="E32" i="8" s="1"/>
  <c r="G32" i="8"/>
  <c r="C18" i="8"/>
  <c r="D18" i="8" s="1"/>
  <c r="E18" i="8" s="1"/>
  <c r="G18" i="8"/>
  <c r="H18" i="8" s="1"/>
  <c r="I18" i="8" s="1"/>
  <c r="U13" i="8"/>
  <c r="C31" i="8"/>
  <c r="D31" i="8" s="1"/>
  <c r="E31" i="8" s="1"/>
  <c r="G31" i="8"/>
  <c r="H31" i="8" s="1"/>
  <c r="I31" i="8" s="1"/>
  <c r="C27" i="8"/>
  <c r="D27" i="8" s="1"/>
  <c r="E27" i="8" s="1"/>
  <c r="G27" i="8"/>
  <c r="H27" i="8" s="1"/>
  <c r="I27" i="8" s="1"/>
  <c r="G21" i="8"/>
  <c r="H21" i="8" s="1"/>
  <c r="I21" i="8" s="1"/>
  <c r="C21" i="8"/>
  <c r="D21" i="8" s="1"/>
  <c r="E21" i="8" s="1"/>
  <c r="G24" i="8"/>
  <c r="H24" i="8" s="1"/>
  <c r="I24" i="8" s="1"/>
  <c r="C24" i="8"/>
  <c r="D24" i="8" s="1"/>
  <c r="E24" i="8" s="1"/>
  <c r="C38" i="8"/>
  <c r="D38" i="8" s="1"/>
  <c r="E38" i="8" s="1"/>
  <c r="G38" i="8"/>
  <c r="H38" i="8" s="1"/>
  <c r="I38" i="8" s="1"/>
  <c r="C34" i="8"/>
  <c r="G34" i="8"/>
  <c r="H34" i="8" s="1"/>
  <c r="I34" i="8" s="1"/>
  <c r="C30" i="8"/>
  <c r="D30" i="8" s="1"/>
  <c r="E30" i="8" s="1"/>
  <c r="G30" i="8"/>
  <c r="H30" i="8" s="1"/>
  <c r="I30" i="8" s="1"/>
  <c r="C26" i="8"/>
  <c r="D26" i="8" s="1"/>
  <c r="E26" i="8" s="1"/>
  <c r="G26" i="8"/>
  <c r="H26" i="8" s="1"/>
  <c r="I26" i="8" s="1"/>
  <c r="C20" i="8"/>
  <c r="D20" i="8" s="1"/>
  <c r="E20" i="8" s="1"/>
  <c r="G20" i="8"/>
  <c r="G13" i="8"/>
  <c r="H13" i="8" s="1"/>
  <c r="I13" i="8" s="1"/>
  <c r="C13" i="8"/>
  <c r="D13" i="8" s="1"/>
  <c r="E13" i="8" s="1"/>
  <c r="C16" i="8"/>
  <c r="G16" i="8"/>
  <c r="H16" i="8" s="1"/>
  <c r="I16" i="8" s="1"/>
  <c r="H32" i="8"/>
  <c r="I32" i="8" s="1"/>
  <c r="C36" i="8"/>
  <c r="D36" i="8" s="1"/>
  <c r="E36" i="8" s="1"/>
  <c r="G36" i="8"/>
  <c r="H36" i="8" s="1"/>
  <c r="I36" i="8" s="1"/>
  <c r="C28" i="8"/>
  <c r="D28" i="8" s="1"/>
  <c r="E28" i="8" s="1"/>
  <c r="G28" i="8"/>
  <c r="H28" i="8" s="1"/>
  <c r="I28" i="8" s="1"/>
  <c r="C39" i="8"/>
  <c r="D39" i="8" s="1"/>
  <c r="E39" i="8" s="1"/>
  <c r="G39" i="8"/>
  <c r="H39" i="8" s="1"/>
  <c r="I39" i="8" s="1"/>
  <c r="C17" i="8"/>
  <c r="D17" i="8" s="1"/>
  <c r="E17" i="8" s="1"/>
  <c r="G17" i="8"/>
  <c r="H17" i="8" s="1"/>
  <c r="I17" i="8" s="1"/>
  <c r="G19" i="8"/>
  <c r="H19" i="8" s="1"/>
  <c r="I19" i="8" s="1"/>
  <c r="C19" i="8"/>
  <c r="D19" i="8" s="1"/>
  <c r="E19" i="8" s="1"/>
  <c r="G22" i="8"/>
  <c r="H22" i="8" s="1"/>
  <c r="I22" i="8" s="1"/>
  <c r="C22" i="8"/>
  <c r="D22" i="8" s="1"/>
  <c r="E22" i="8" s="1"/>
  <c r="C35" i="8"/>
  <c r="D35" i="8" s="1"/>
  <c r="E35" i="8" s="1"/>
  <c r="G35" i="8"/>
  <c r="H35" i="8" s="1"/>
  <c r="I35" i="8" s="1"/>
  <c r="G15" i="8"/>
  <c r="H15" i="8" s="1"/>
  <c r="I15" i="8" s="1"/>
  <c r="C15" i="8"/>
  <c r="D15" i="8" s="1"/>
  <c r="E15" i="8" s="1"/>
  <c r="D16" i="8"/>
  <c r="E16" i="8" s="1"/>
  <c r="U16" i="8"/>
  <c r="C37" i="8"/>
  <c r="D37" i="8" s="1"/>
  <c r="E37" i="8" s="1"/>
  <c r="G37" i="8"/>
  <c r="H37" i="8" s="1"/>
  <c r="I37" i="8" s="1"/>
  <c r="C33" i="8"/>
  <c r="D33" i="8" s="1"/>
  <c r="E33" i="8" s="1"/>
  <c r="G33" i="8"/>
  <c r="H33" i="8" s="1"/>
  <c r="I33" i="8" s="1"/>
  <c r="C29" i="8"/>
  <c r="D29" i="8" s="1"/>
  <c r="E29" i="8" s="1"/>
  <c r="G29" i="8"/>
  <c r="H29" i="8" s="1"/>
  <c r="I29" i="8" s="1"/>
  <c r="C25" i="8"/>
  <c r="D25" i="8" s="1"/>
  <c r="E25" i="8" s="1"/>
  <c r="G25" i="8"/>
  <c r="H25" i="8" s="1"/>
  <c r="I25" i="8" s="1"/>
  <c r="U12" i="8"/>
  <c r="D11" i="8"/>
  <c r="E11" i="8" s="1"/>
  <c r="D34" i="8"/>
  <c r="E34" i="8" s="1"/>
  <c r="C23" i="7"/>
  <c r="G23" i="7"/>
  <c r="G24" i="7"/>
  <c r="C24" i="7"/>
  <c r="G12" i="7"/>
  <c r="C12" i="7"/>
  <c r="C30" i="7"/>
  <c r="D30" i="7" s="1"/>
  <c r="E30" i="7" s="1"/>
  <c r="G30" i="7"/>
  <c r="H30" i="7" s="1"/>
  <c r="I30" i="7" s="1"/>
  <c r="G21" i="7"/>
  <c r="C21" i="7"/>
  <c r="D21" i="7" s="1"/>
  <c r="E21" i="7" s="1"/>
  <c r="C37" i="7"/>
  <c r="G37" i="7"/>
  <c r="H37" i="7" s="1"/>
  <c r="I37" i="7" s="1"/>
  <c r="U13" i="7"/>
  <c r="P19" i="7"/>
  <c r="K19" i="7"/>
  <c r="J19" i="7"/>
  <c r="T19" i="7"/>
  <c r="U11" i="7"/>
  <c r="C35" i="7"/>
  <c r="D35" i="7" s="1"/>
  <c r="E35" i="7" s="1"/>
  <c r="G35" i="7"/>
  <c r="H35" i="7" s="1"/>
  <c r="I35" i="7" s="1"/>
  <c r="C34" i="7"/>
  <c r="D34" i="7" s="1"/>
  <c r="E34" i="7" s="1"/>
  <c r="G34" i="7"/>
  <c r="C25" i="7"/>
  <c r="D25" i="7" s="1"/>
  <c r="E25" i="7" s="1"/>
  <c r="G25" i="7"/>
  <c r="H25" i="7" s="1"/>
  <c r="I25" i="7" s="1"/>
  <c r="C28" i="7"/>
  <c r="D28" i="7" s="1"/>
  <c r="E28" i="7" s="1"/>
  <c r="G28" i="7"/>
  <c r="D23" i="7"/>
  <c r="E23" i="7" s="1"/>
  <c r="H21" i="7"/>
  <c r="I21" i="7" s="1"/>
  <c r="H24" i="7"/>
  <c r="I24" i="7" s="1"/>
  <c r="B19" i="7"/>
  <c r="U19" i="7" s="1"/>
  <c r="G14" i="7"/>
  <c r="H14" i="7" s="1"/>
  <c r="I14" i="7" s="1"/>
  <c r="C14" i="7"/>
  <c r="D14" i="7" s="1"/>
  <c r="E14" i="7" s="1"/>
  <c r="P15" i="7"/>
  <c r="T15" i="7"/>
  <c r="K15" i="7"/>
  <c r="J15" i="7"/>
  <c r="C20" i="7"/>
  <c r="D20" i="7" s="1"/>
  <c r="E20" i="7" s="1"/>
  <c r="G20" i="7"/>
  <c r="C31" i="7"/>
  <c r="G31" i="7"/>
  <c r="H31" i="7" s="1"/>
  <c r="I31" i="7" s="1"/>
  <c r="C39" i="7"/>
  <c r="D39" i="7" s="1"/>
  <c r="E39" i="7" s="1"/>
  <c r="G39" i="7"/>
  <c r="H39" i="7" s="1"/>
  <c r="I39" i="7" s="1"/>
  <c r="C38" i="7"/>
  <c r="G38" i="7"/>
  <c r="H38" i="7" s="1"/>
  <c r="I38" i="7" s="1"/>
  <c r="C29" i="7"/>
  <c r="D29" i="7" s="1"/>
  <c r="E29" i="7" s="1"/>
  <c r="G29" i="7"/>
  <c r="H29" i="7" s="1"/>
  <c r="I29" i="7" s="1"/>
  <c r="C32" i="7"/>
  <c r="D32" i="7" s="1"/>
  <c r="E32" i="7" s="1"/>
  <c r="G32" i="7"/>
  <c r="H32" i="7" s="1"/>
  <c r="I32" i="7" s="1"/>
  <c r="H12" i="7"/>
  <c r="I12" i="7" s="1"/>
  <c r="H23" i="7"/>
  <c r="I23" i="7" s="1"/>
  <c r="H34" i="7"/>
  <c r="I34" i="7" s="1"/>
  <c r="B15" i="7"/>
  <c r="U15" i="7" s="1"/>
  <c r="G11" i="7"/>
  <c r="C11" i="7"/>
  <c r="D11" i="7" s="1"/>
  <c r="E11" i="7" s="1"/>
  <c r="U16" i="7"/>
  <c r="G13" i="7"/>
  <c r="H13" i="7" s="1"/>
  <c r="I13" i="7" s="1"/>
  <c r="C13" i="7"/>
  <c r="D13" i="7" s="1"/>
  <c r="E13" i="7" s="1"/>
  <c r="D31" i="7"/>
  <c r="E31" i="7" s="1"/>
  <c r="G17" i="7"/>
  <c r="H17" i="7" s="1"/>
  <c r="I17" i="7" s="1"/>
  <c r="C17" i="7"/>
  <c r="D17" i="7" s="1"/>
  <c r="E17" i="7" s="1"/>
  <c r="C22" i="7"/>
  <c r="D22" i="7" s="1"/>
  <c r="E22" i="7" s="1"/>
  <c r="G22" i="7"/>
  <c r="H22" i="7" s="1"/>
  <c r="I22" i="7" s="1"/>
  <c r="C18" i="7"/>
  <c r="D18" i="7" s="1"/>
  <c r="E18" i="7" s="1"/>
  <c r="G18" i="7"/>
  <c r="H18" i="7" s="1"/>
  <c r="I18" i="7" s="1"/>
  <c r="C26" i="7"/>
  <c r="D26" i="7" s="1"/>
  <c r="E26" i="7" s="1"/>
  <c r="G26" i="7"/>
  <c r="H26" i="7" s="1"/>
  <c r="I26" i="7" s="1"/>
  <c r="C16" i="7"/>
  <c r="D16" i="7" s="1"/>
  <c r="E16" i="7" s="1"/>
  <c r="G16" i="7"/>
  <c r="H16" i="7" s="1"/>
  <c r="I16" i="7" s="1"/>
  <c r="C33" i="7"/>
  <c r="D33" i="7" s="1"/>
  <c r="E33" i="7" s="1"/>
  <c r="G33" i="7"/>
  <c r="H33" i="7" s="1"/>
  <c r="I33" i="7" s="1"/>
  <c r="C36" i="7"/>
  <c r="D36" i="7" s="1"/>
  <c r="E36" i="7" s="1"/>
  <c r="G36" i="7"/>
  <c r="H36" i="7" s="1"/>
  <c r="I36" i="7" s="1"/>
  <c r="H11" i="7"/>
  <c r="I11" i="7" s="1"/>
  <c r="F19" i="7"/>
  <c r="H28" i="7"/>
  <c r="I28" i="7" s="1"/>
  <c r="D37" i="7"/>
  <c r="E37" i="7" s="1"/>
  <c r="D38" i="7"/>
  <c r="E38" i="7" s="1"/>
  <c r="C27" i="7"/>
  <c r="D27" i="7" s="1"/>
  <c r="E27" i="7" s="1"/>
  <c r="G27" i="7"/>
  <c r="H27" i="7" s="1"/>
  <c r="I27" i="7" s="1"/>
  <c r="T24" i="6"/>
  <c r="J24" i="6"/>
  <c r="K24" i="6"/>
  <c r="O19" i="6"/>
  <c r="O20" i="6" s="1"/>
  <c r="O21" i="6" s="1"/>
  <c r="P18" i="6"/>
  <c r="U12" i="6"/>
  <c r="U11" i="6"/>
  <c r="F24" i="6"/>
  <c r="P15" i="6"/>
  <c r="U15" i="6"/>
  <c r="J15" i="6"/>
  <c r="T15" i="6"/>
  <c r="K15" i="6"/>
  <c r="F15" i="6"/>
  <c r="U14" i="6"/>
  <c r="B24" i="6"/>
  <c r="U24" i="6" s="1"/>
  <c r="G12" i="6"/>
  <c r="P19" i="6"/>
  <c r="K19" i="6"/>
  <c r="J19" i="6"/>
  <c r="F19" i="6"/>
  <c r="T19" i="6"/>
  <c r="G13" i="6"/>
  <c r="H13" i="6" s="1"/>
  <c r="I13" i="6" s="1"/>
  <c r="C13" i="6"/>
  <c r="D13" i="6" s="1"/>
  <c r="E13" i="6" s="1"/>
  <c r="G14" i="6"/>
  <c r="H14" i="6" s="1"/>
  <c r="I14" i="6" s="1"/>
  <c r="C14" i="6"/>
  <c r="D14" i="6" s="1"/>
  <c r="E14" i="6" s="1"/>
  <c r="G11" i="6"/>
  <c r="H11" i="6" s="1"/>
  <c r="I11" i="6" s="1"/>
  <c r="C11" i="6"/>
  <c r="D11" i="6" s="1"/>
  <c r="E11" i="6" s="1"/>
  <c r="H16" i="6"/>
  <c r="I16" i="6" s="1"/>
  <c r="T20" i="6"/>
  <c r="J20" i="6"/>
  <c r="K20" i="6"/>
  <c r="T23" i="6"/>
  <c r="F23" i="6"/>
  <c r="K23" i="6"/>
  <c r="J23" i="6"/>
  <c r="G17" i="6"/>
  <c r="H17" i="6" s="1"/>
  <c r="I17" i="6" s="1"/>
  <c r="B19" i="6"/>
  <c r="U19" i="6" s="1"/>
  <c r="G23" i="5"/>
  <c r="H23" i="5" s="1"/>
  <c r="I23" i="5" s="1"/>
  <c r="C23" i="5"/>
  <c r="C33" i="5"/>
  <c r="G33" i="5"/>
  <c r="H33" i="5" s="1"/>
  <c r="I33" i="5" s="1"/>
  <c r="G17" i="5"/>
  <c r="H17" i="5" s="1"/>
  <c r="I17" i="5" s="1"/>
  <c r="C17" i="5"/>
  <c r="D17" i="5" s="1"/>
  <c r="E17" i="5" s="1"/>
  <c r="C32" i="5"/>
  <c r="D32" i="5" s="1"/>
  <c r="E32" i="5" s="1"/>
  <c r="G32" i="5"/>
  <c r="H32" i="5" s="1"/>
  <c r="I32" i="5" s="1"/>
  <c r="C39" i="5"/>
  <c r="D39" i="5" s="1"/>
  <c r="E39" i="5" s="1"/>
  <c r="G39" i="5"/>
  <c r="H39" i="5" s="1"/>
  <c r="I39" i="5" s="1"/>
  <c r="U22" i="5"/>
  <c r="U31" i="5"/>
  <c r="U39" i="5"/>
  <c r="U28" i="5"/>
  <c r="U36" i="5"/>
  <c r="C29" i="5"/>
  <c r="D29" i="5" s="1"/>
  <c r="E29" i="5" s="1"/>
  <c r="G29" i="5"/>
  <c r="H29" i="5" s="1"/>
  <c r="I29" i="5" s="1"/>
  <c r="G13" i="5"/>
  <c r="H13" i="5" s="1"/>
  <c r="I13" i="5" s="1"/>
  <c r="C13" i="5"/>
  <c r="D13" i="5" s="1"/>
  <c r="E13" i="5" s="1"/>
  <c r="C28" i="5"/>
  <c r="D28" i="5" s="1"/>
  <c r="E28" i="5" s="1"/>
  <c r="G28" i="5"/>
  <c r="H28" i="5" s="1"/>
  <c r="I28" i="5" s="1"/>
  <c r="C38" i="5"/>
  <c r="D38" i="5" s="1"/>
  <c r="E38" i="5" s="1"/>
  <c r="G38" i="5"/>
  <c r="H38" i="5" s="1"/>
  <c r="I38" i="5" s="1"/>
  <c r="C20" i="5"/>
  <c r="D20" i="5" s="1"/>
  <c r="E20" i="5" s="1"/>
  <c r="G20" i="5"/>
  <c r="C35" i="5"/>
  <c r="D35" i="5" s="1"/>
  <c r="E35" i="5" s="1"/>
  <c r="G35" i="5"/>
  <c r="H35" i="5" s="1"/>
  <c r="I35" i="5" s="1"/>
  <c r="C34" i="5"/>
  <c r="D34" i="5" s="1"/>
  <c r="E34" i="5" s="1"/>
  <c r="G34" i="5"/>
  <c r="H34" i="5" s="1"/>
  <c r="I34" i="5" s="1"/>
  <c r="U21" i="5"/>
  <c r="U25" i="5"/>
  <c r="D33" i="5"/>
  <c r="E33" i="5" s="1"/>
  <c r="U33" i="5"/>
  <c r="U30" i="5"/>
  <c r="U38" i="5"/>
  <c r="C25" i="5"/>
  <c r="D25" i="5" s="1"/>
  <c r="E25" i="5" s="1"/>
  <c r="G25" i="5"/>
  <c r="H25" i="5" s="1"/>
  <c r="I25" i="5" s="1"/>
  <c r="C14" i="5"/>
  <c r="D14" i="5" s="1"/>
  <c r="E14" i="5" s="1"/>
  <c r="G14" i="5"/>
  <c r="H14" i="5" s="1"/>
  <c r="I14" i="5" s="1"/>
  <c r="C26" i="5"/>
  <c r="D26" i="5" s="1"/>
  <c r="E26" i="5" s="1"/>
  <c r="G26" i="5"/>
  <c r="H26" i="5" s="1"/>
  <c r="I26" i="5" s="1"/>
  <c r="C18" i="5"/>
  <c r="D18" i="5" s="1"/>
  <c r="E18" i="5" s="1"/>
  <c r="G18" i="5"/>
  <c r="H18" i="5" s="1"/>
  <c r="I18" i="5" s="1"/>
  <c r="C31" i="5"/>
  <c r="D31" i="5" s="1"/>
  <c r="E31" i="5" s="1"/>
  <c r="G31" i="5"/>
  <c r="H31" i="5" s="1"/>
  <c r="I31" i="5" s="1"/>
  <c r="C30" i="5"/>
  <c r="D30" i="5" s="1"/>
  <c r="E30" i="5" s="1"/>
  <c r="G30" i="5"/>
  <c r="H30" i="5" s="1"/>
  <c r="I30" i="5" s="1"/>
  <c r="U27" i="5"/>
  <c r="U35" i="5"/>
  <c r="U24" i="5"/>
  <c r="U32" i="5"/>
  <c r="G15" i="5"/>
  <c r="C15" i="5"/>
  <c r="G21" i="5"/>
  <c r="H21" i="5" s="1"/>
  <c r="I21" i="5" s="1"/>
  <c r="C21" i="5"/>
  <c r="D21" i="5" s="1"/>
  <c r="E21" i="5" s="1"/>
  <c r="G24" i="5"/>
  <c r="H24" i="5" s="1"/>
  <c r="I24" i="5" s="1"/>
  <c r="C24" i="5"/>
  <c r="D24" i="5" s="1"/>
  <c r="E24" i="5" s="1"/>
  <c r="C36" i="5"/>
  <c r="D36" i="5" s="1"/>
  <c r="E36" i="5" s="1"/>
  <c r="G36" i="5"/>
  <c r="H36" i="5" s="1"/>
  <c r="I36" i="5" s="1"/>
  <c r="G22" i="5"/>
  <c r="H22" i="5" s="1"/>
  <c r="I22" i="5" s="1"/>
  <c r="C22" i="5"/>
  <c r="D22" i="5" s="1"/>
  <c r="E22" i="5" s="1"/>
  <c r="C27" i="5"/>
  <c r="D27" i="5" s="1"/>
  <c r="E27" i="5" s="1"/>
  <c r="G27" i="5"/>
  <c r="H27" i="5" s="1"/>
  <c r="I27" i="5" s="1"/>
  <c r="G12" i="5"/>
  <c r="H12" i="5" s="1"/>
  <c r="I12" i="5" s="1"/>
  <c r="C12" i="5"/>
  <c r="D12" i="5" s="1"/>
  <c r="E12" i="5" s="1"/>
  <c r="G16" i="5"/>
  <c r="H16" i="5" s="1"/>
  <c r="I16" i="5" s="1"/>
  <c r="C16" i="5"/>
  <c r="D16" i="5" s="1"/>
  <c r="E16" i="5" s="1"/>
  <c r="U17" i="5"/>
  <c r="U29" i="5"/>
  <c r="U37" i="5"/>
  <c r="U26" i="5"/>
  <c r="U34" i="5"/>
  <c r="C37" i="5"/>
  <c r="D37" i="5" s="1"/>
  <c r="E37" i="5" s="1"/>
  <c r="G37" i="5"/>
  <c r="H37" i="5" s="1"/>
  <c r="I37" i="5" s="1"/>
  <c r="G17" i="4"/>
  <c r="H17" i="4" s="1"/>
  <c r="I17" i="4" s="1"/>
  <c r="C17" i="4"/>
  <c r="D17" i="4" s="1"/>
  <c r="E17" i="4" s="1"/>
  <c r="C32" i="4"/>
  <c r="D32" i="4" s="1"/>
  <c r="E32" i="4" s="1"/>
  <c r="G32" i="4"/>
  <c r="H32" i="4" s="1"/>
  <c r="I32" i="4" s="1"/>
  <c r="G37" i="4"/>
  <c r="H37" i="4" s="1"/>
  <c r="I37" i="4" s="1"/>
  <c r="C37" i="4"/>
  <c r="D37" i="4" s="1"/>
  <c r="E37" i="4" s="1"/>
  <c r="G29" i="4"/>
  <c r="H29" i="4" s="1"/>
  <c r="I29" i="4" s="1"/>
  <c r="C29" i="4"/>
  <c r="D29" i="4" s="1"/>
  <c r="E29" i="4" s="1"/>
  <c r="U25" i="4"/>
  <c r="U34" i="4"/>
  <c r="U21" i="4"/>
  <c r="U11" i="4"/>
  <c r="U27" i="4"/>
  <c r="U16" i="4"/>
  <c r="U36" i="4"/>
  <c r="C28" i="4"/>
  <c r="D28" i="4" s="1"/>
  <c r="E28" i="4" s="1"/>
  <c r="G28" i="4"/>
  <c r="H28" i="4" s="1"/>
  <c r="I28" i="4" s="1"/>
  <c r="C36" i="4"/>
  <c r="D36" i="4" s="1"/>
  <c r="E36" i="4" s="1"/>
  <c r="G36" i="4"/>
  <c r="H36" i="4" s="1"/>
  <c r="I36" i="4" s="1"/>
  <c r="P19" i="4"/>
  <c r="J19" i="4"/>
  <c r="T19" i="4"/>
  <c r="K19" i="4"/>
  <c r="F19" i="4"/>
  <c r="G35" i="4"/>
  <c r="H35" i="4" s="1"/>
  <c r="I35" i="4" s="1"/>
  <c r="C35" i="4"/>
  <c r="D35" i="4" s="1"/>
  <c r="E35" i="4" s="1"/>
  <c r="G31" i="4"/>
  <c r="H31" i="4" s="1"/>
  <c r="I31" i="4" s="1"/>
  <c r="C31" i="4"/>
  <c r="D31" i="4" s="1"/>
  <c r="E31" i="4" s="1"/>
  <c r="G27" i="4"/>
  <c r="H27" i="4" s="1"/>
  <c r="I27" i="4" s="1"/>
  <c r="C27" i="4"/>
  <c r="D27" i="4" s="1"/>
  <c r="E27" i="4" s="1"/>
  <c r="G12" i="4"/>
  <c r="C12" i="4"/>
  <c r="D12" i="4" s="1"/>
  <c r="E12" i="4" s="1"/>
  <c r="G39" i="4"/>
  <c r="H39" i="4" s="1"/>
  <c r="I39" i="4" s="1"/>
  <c r="C39" i="4"/>
  <c r="D39" i="4" s="1"/>
  <c r="E39" i="4" s="1"/>
  <c r="D13" i="4"/>
  <c r="E13" i="4" s="1"/>
  <c r="U29" i="4"/>
  <c r="U37" i="4"/>
  <c r="U30" i="4"/>
  <c r="U38" i="4"/>
  <c r="G16" i="4"/>
  <c r="H16" i="4" s="1"/>
  <c r="I16" i="4" s="1"/>
  <c r="C16" i="4"/>
  <c r="D16" i="4" s="1"/>
  <c r="E16" i="4" s="1"/>
  <c r="T24" i="4"/>
  <c r="J24" i="4"/>
  <c r="P24" i="4"/>
  <c r="K24" i="4"/>
  <c r="G33" i="4"/>
  <c r="H33" i="4" s="1"/>
  <c r="I33" i="4" s="1"/>
  <c r="C33" i="4"/>
  <c r="D33" i="4" s="1"/>
  <c r="E33" i="4" s="1"/>
  <c r="G25" i="4"/>
  <c r="H25" i="4" s="1"/>
  <c r="I25" i="4" s="1"/>
  <c r="C25" i="4"/>
  <c r="D25" i="4" s="1"/>
  <c r="E25" i="4" s="1"/>
  <c r="G14" i="4"/>
  <c r="H14" i="4" s="1"/>
  <c r="I14" i="4" s="1"/>
  <c r="C14" i="4"/>
  <c r="D14" i="4" s="1"/>
  <c r="E14" i="4" s="1"/>
  <c r="U33" i="4"/>
  <c r="U26" i="4"/>
  <c r="F24" i="4"/>
  <c r="C26" i="4"/>
  <c r="D26" i="4" s="1"/>
  <c r="E26" i="4" s="1"/>
  <c r="G26" i="4"/>
  <c r="H26" i="4" s="1"/>
  <c r="I26" i="4" s="1"/>
  <c r="C34" i="4"/>
  <c r="D34" i="4" s="1"/>
  <c r="E34" i="4" s="1"/>
  <c r="G34" i="4"/>
  <c r="H34" i="4" s="1"/>
  <c r="I34" i="4" s="1"/>
  <c r="P15" i="4"/>
  <c r="K15" i="4"/>
  <c r="J15" i="4"/>
  <c r="T15" i="4"/>
  <c r="B15" i="4"/>
  <c r="U15" i="4" s="1"/>
  <c r="U35" i="4"/>
  <c r="U28" i="4"/>
  <c r="G21" i="4"/>
  <c r="H21" i="4" s="1"/>
  <c r="I21" i="4" s="1"/>
  <c r="C21" i="4"/>
  <c r="D21" i="4" s="1"/>
  <c r="E21" i="4" s="1"/>
  <c r="F15" i="4"/>
  <c r="G18" i="4"/>
  <c r="C30" i="4"/>
  <c r="D30" i="4" s="1"/>
  <c r="E30" i="4" s="1"/>
  <c r="G30" i="4"/>
  <c r="H30" i="4" s="1"/>
  <c r="I30" i="4" s="1"/>
  <c r="C38" i="4"/>
  <c r="D38" i="4" s="1"/>
  <c r="E38" i="4" s="1"/>
  <c r="G38" i="4"/>
  <c r="H38" i="4" s="1"/>
  <c r="I38" i="4" s="1"/>
  <c r="P23" i="4"/>
  <c r="T23" i="4"/>
  <c r="K23" i="4"/>
  <c r="J23" i="4"/>
  <c r="B23" i="4"/>
  <c r="U12" i="4"/>
  <c r="B19" i="4"/>
  <c r="U19" i="4" s="1"/>
  <c r="U31" i="4"/>
  <c r="U39" i="4"/>
  <c r="B24" i="4"/>
  <c r="U32" i="4"/>
  <c r="C27" i="3"/>
  <c r="D27" i="3" s="1"/>
  <c r="E27" i="3" s="1"/>
  <c r="G27" i="3"/>
  <c r="H27" i="3" s="1"/>
  <c r="I27" i="3" s="1"/>
  <c r="U30" i="3"/>
  <c r="U25" i="3"/>
  <c r="G24" i="3"/>
  <c r="C24" i="3"/>
  <c r="C14" i="3"/>
  <c r="G14" i="3"/>
  <c r="U34" i="3"/>
  <c r="U29" i="3"/>
  <c r="U37" i="3"/>
  <c r="U18" i="3"/>
  <c r="U13" i="3"/>
  <c r="G19" i="3"/>
  <c r="H19" i="3" s="1"/>
  <c r="I19" i="3" s="1"/>
  <c r="C19" i="3"/>
  <c r="D19" i="3" s="1"/>
  <c r="E19" i="3" s="1"/>
  <c r="G31" i="3"/>
  <c r="H31" i="3" s="1"/>
  <c r="I31" i="3" s="1"/>
  <c r="C31" i="3"/>
  <c r="D31" i="3" s="1"/>
  <c r="E31" i="3" s="1"/>
  <c r="G39" i="3"/>
  <c r="H39" i="3" s="1"/>
  <c r="I39" i="3" s="1"/>
  <c r="C39" i="3"/>
  <c r="D39" i="3" s="1"/>
  <c r="E39" i="3" s="1"/>
  <c r="G30" i="3"/>
  <c r="H30" i="3" s="1"/>
  <c r="I30" i="3" s="1"/>
  <c r="C30" i="3"/>
  <c r="D30" i="3" s="1"/>
  <c r="E30" i="3" s="1"/>
  <c r="G38" i="3"/>
  <c r="H38" i="3" s="1"/>
  <c r="I38" i="3" s="1"/>
  <c r="C38" i="3"/>
  <c r="D38" i="3" s="1"/>
  <c r="E38" i="3" s="1"/>
  <c r="U26" i="3"/>
  <c r="U36" i="3"/>
  <c r="U31" i="3"/>
  <c r="U39" i="3"/>
  <c r="G13" i="3"/>
  <c r="H13" i="3" s="1"/>
  <c r="I13" i="3" s="1"/>
  <c r="G33" i="3"/>
  <c r="H33" i="3" s="1"/>
  <c r="I33" i="3" s="1"/>
  <c r="C33" i="3"/>
  <c r="D33" i="3" s="1"/>
  <c r="E33" i="3" s="1"/>
  <c r="G32" i="3"/>
  <c r="H32" i="3" s="1"/>
  <c r="I32" i="3" s="1"/>
  <c r="C32" i="3"/>
  <c r="D32" i="3" s="1"/>
  <c r="E32" i="3" s="1"/>
  <c r="U28" i="3"/>
  <c r="U38" i="3"/>
  <c r="U33" i="3"/>
  <c r="C22" i="3"/>
  <c r="D22" i="3" s="1"/>
  <c r="E22" i="3" s="1"/>
  <c r="G22" i="3"/>
  <c r="H22" i="3" s="1"/>
  <c r="I22" i="3" s="1"/>
  <c r="C18" i="3"/>
  <c r="D18" i="3" s="1"/>
  <c r="E18" i="3" s="1"/>
  <c r="G18" i="3"/>
  <c r="H18" i="3" s="1"/>
  <c r="I18" i="3" s="1"/>
  <c r="G23" i="3"/>
  <c r="H23" i="3" s="1"/>
  <c r="I23" i="3" s="1"/>
  <c r="C23" i="3"/>
  <c r="D23" i="3" s="1"/>
  <c r="E23" i="3" s="1"/>
  <c r="G12" i="3"/>
  <c r="H12" i="3" s="1"/>
  <c r="I12" i="3" s="1"/>
  <c r="G35" i="3"/>
  <c r="H35" i="3" s="1"/>
  <c r="I35" i="3" s="1"/>
  <c r="C35" i="3"/>
  <c r="D35" i="3" s="1"/>
  <c r="E35" i="3" s="1"/>
  <c r="G26" i="3"/>
  <c r="H26" i="3" s="1"/>
  <c r="I26" i="3" s="1"/>
  <c r="C26" i="3"/>
  <c r="D26" i="3" s="1"/>
  <c r="E26" i="3" s="1"/>
  <c r="G34" i="3"/>
  <c r="H34" i="3" s="1"/>
  <c r="I34" i="3" s="1"/>
  <c r="C34" i="3"/>
  <c r="D34" i="3" s="1"/>
  <c r="E34" i="3" s="1"/>
  <c r="U32" i="3"/>
  <c r="U14" i="3"/>
  <c r="U27" i="3"/>
  <c r="U35" i="3"/>
  <c r="C12" i="8" l="1"/>
  <c r="D12" i="8" s="1"/>
  <c r="E12" i="8" s="1"/>
  <c r="H20" i="8"/>
  <c r="I20" i="8" s="1"/>
  <c r="D18" i="4"/>
  <c r="E18" i="4" s="1"/>
  <c r="G22" i="4"/>
  <c r="H22" i="4" s="1"/>
  <c r="I22" i="4" s="1"/>
  <c r="C20" i="4"/>
  <c r="G11" i="5"/>
  <c r="H11" i="5" s="1"/>
  <c r="I11" i="5" s="1"/>
  <c r="C19" i="5"/>
  <c r="D19" i="5" s="1"/>
  <c r="E19" i="5" s="1"/>
  <c r="D12" i="7"/>
  <c r="E12" i="7" s="1"/>
  <c r="H18" i="4"/>
  <c r="I18" i="4" s="1"/>
  <c r="G15" i="3"/>
  <c r="H15" i="3" s="1"/>
  <c r="I15" i="3" s="1"/>
  <c r="C21" i="3"/>
  <c r="D21" i="3" s="1"/>
  <c r="E21" i="3" s="1"/>
  <c r="C37" i="3"/>
  <c r="D37" i="3" s="1"/>
  <c r="E37" i="3" s="1"/>
  <c r="H20" i="5"/>
  <c r="I20" i="5" s="1"/>
  <c r="D23" i="5"/>
  <c r="E23" i="5" s="1"/>
  <c r="D16" i="3"/>
  <c r="E16" i="3" s="1"/>
  <c r="D16" i="6"/>
  <c r="E16" i="6" s="1"/>
  <c r="H20" i="3"/>
  <c r="I20" i="3" s="1"/>
  <c r="D17" i="6"/>
  <c r="E17" i="6" s="1"/>
  <c r="H20" i="4"/>
  <c r="I20" i="4" s="1"/>
  <c r="D22" i="4"/>
  <c r="E22" i="4" s="1"/>
  <c r="H12" i="4"/>
  <c r="I12" i="4" s="1"/>
  <c r="D20" i="4"/>
  <c r="E20" i="4" s="1"/>
  <c r="H11" i="4"/>
  <c r="I11" i="4" s="1"/>
  <c r="C17" i="3"/>
  <c r="G16" i="3"/>
  <c r="H16" i="3" s="1"/>
  <c r="I16" i="3" s="1"/>
  <c r="H14" i="3"/>
  <c r="I14" i="3" s="1"/>
  <c r="C20" i="3"/>
  <c r="D20" i="3" s="1"/>
  <c r="E20" i="3" s="1"/>
  <c r="C29" i="3"/>
  <c r="D29" i="3" s="1"/>
  <c r="E29" i="3" s="1"/>
  <c r="D15" i="3"/>
  <c r="E15" i="3" s="1"/>
  <c r="G28" i="3"/>
  <c r="H28" i="3" s="1"/>
  <c r="I28" i="3" s="1"/>
  <c r="D14" i="3"/>
  <c r="E14" i="3" s="1"/>
  <c r="H24" i="3"/>
  <c r="I24" i="3" s="1"/>
  <c r="D12" i="3"/>
  <c r="E12" i="3" s="1"/>
  <c r="H21" i="3"/>
  <c r="I21" i="3" s="1"/>
  <c r="C25" i="3"/>
  <c r="D25" i="3" s="1"/>
  <c r="E25" i="3" s="1"/>
  <c r="C11" i="3"/>
  <c r="D11" i="3" s="1"/>
  <c r="E11" i="3" s="1"/>
  <c r="G36" i="3"/>
  <c r="H36" i="3" s="1"/>
  <c r="I36" i="3" s="1"/>
  <c r="D24" i="3"/>
  <c r="E24" i="3" s="1"/>
  <c r="D17" i="3"/>
  <c r="E17" i="3" s="1"/>
  <c r="H11" i="3"/>
  <c r="I11" i="3" s="1"/>
  <c r="H12" i="8"/>
  <c r="I12" i="8" s="1"/>
  <c r="D24" i="7"/>
  <c r="E24" i="7" s="1"/>
  <c r="U24" i="7"/>
  <c r="H12" i="6"/>
  <c r="I12" i="6" s="1"/>
  <c r="H15" i="5"/>
  <c r="I15" i="5" s="1"/>
  <c r="D15" i="5"/>
  <c r="E15" i="5" s="1"/>
  <c r="C11" i="4"/>
  <c r="D11" i="4" s="1"/>
  <c r="E11" i="4" s="1"/>
  <c r="H20" i="7"/>
  <c r="I20" i="7" s="1"/>
  <c r="C15" i="7"/>
  <c r="D15" i="7" s="1"/>
  <c r="E15" i="7" s="1"/>
  <c r="G15" i="7"/>
  <c r="H15" i="7" s="1"/>
  <c r="I15" i="7" s="1"/>
  <c r="G19" i="7"/>
  <c r="H19" i="7" s="1"/>
  <c r="I19" i="7" s="1"/>
  <c r="C19" i="7"/>
  <c r="D19" i="7" s="1"/>
  <c r="E19" i="7" s="1"/>
  <c r="C15" i="6"/>
  <c r="D15" i="6" s="1"/>
  <c r="E15" i="6" s="1"/>
  <c r="G15" i="6"/>
  <c r="H15" i="6" s="1"/>
  <c r="I15" i="6" s="1"/>
  <c r="G18" i="6"/>
  <c r="H18" i="6" s="1"/>
  <c r="I18" i="6" s="1"/>
  <c r="C18" i="6"/>
  <c r="D18" i="6" s="1"/>
  <c r="E18" i="6" s="1"/>
  <c r="C19" i="6"/>
  <c r="D19" i="6" s="1"/>
  <c r="E19" i="6" s="1"/>
  <c r="G19" i="6"/>
  <c r="H19" i="6" s="1"/>
  <c r="I19" i="6" s="1"/>
  <c r="O22" i="6"/>
  <c r="P21" i="6"/>
  <c r="P20" i="6"/>
  <c r="G24" i="4"/>
  <c r="H24" i="4" s="1"/>
  <c r="I24" i="4" s="1"/>
  <c r="C24" i="4"/>
  <c r="D24" i="4" s="1"/>
  <c r="E24" i="4" s="1"/>
  <c r="C19" i="4"/>
  <c r="D19" i="4" s="1"/>
  <c r="E19" i="4" s="1"/>
  <c r="G19" i="4"/>
  <c r="H19" i="4" s="1"/>
  <c r="I19" i="4" s="1"/>
  <c r="U24" i="4"/>
  <c r="U23" i="4"/>
  <c r="G23" i="4"/>
  <c r="H23" i="4" s="1"/>
  <c r="I23" i="4" s="1"/>
  <c r="C23" i="4"/>
  <c r="D23" i="4" s="1"/>
  <c r="E23" i="4" s="1"/>
  <c r="C15" i="4"/>
  <c r="D15" i="4" s="1"/>
  <c r="E15" i="4" s="1"/>
  <c r="G15" i="4"/>
  <c r="H15" i="4" s="1"/>
  <c r="I15" i="4" s="1"/>
  <c r="O23" i="6" l="1"/>
  <c r="P22" i="6"/>
  <c r="C20" i="6"/>
  <c r="D20" i="6" s="1"/>
  <c r="E20" i="6" s="1"/>
  <c r="G20" i="6"/>
  <c r="H20" i="6" s="1"/>
  <c r="I20" i="6" s="1"/>
  <c r="G21" i="6"/>
  <c r="H21" i="6" s="1"/>
  <c r="I21" i="6" s="1"/>
  <c r="C21" i="6"/>
  <c r="D21" i="6" s="1"/>
  <c r="E21" i="6" s="1"/>
  <c r="G22" i="6" l="1"/>
  <c r="H22" i="6" s="1"/>
  <c r="I22" i="6" s="1"/>
  <c r="C22" i="6"/>
  <c r="D22" i="6" s="1"/>
  <c r="E22" i="6" s="1"/>
  <c r="O24" i="6"/>
  <c r="P23" i="6"/>
  <c r="G23" i="6" l="1"/>
  <c r="H23" i="6" s="1"/>
  <c r="I23" i="6" s="1"/>
  <c r="C23" i="6"/>
  <c r="D23" i="6" s="1"/>
  <c r="E23" i="6" s="1"/>
  <c r="O25" i="6"/>
  <c r="P24" i="6"/>
  <c r="O26" i="6" l="1"/>
  <c r="P25" i="6"/>
  <c r="G24" i="6"/>
  <c r="H24" i="6" s="1"/>
  <c r="I24" i="6" s="1"/>
  <c r="C24" i="6"/>
  <c r="D24" i="6" s="1"/>
  <c r="E24" i="6" s="1"/>
  <c r="G25" i="6" l="1"/>
  <c r="H25" i="6" s="1"/>
  <c r="I25" i="6" s="1"/>
  <c r="C25" i="6"/>
  <c r="D25" i="6" s="1"/>
  <c r="E25" i="6" s="1"/>
  <c r="O27" i="6"/>
  <c r="P26" i="6"/>
  <c r="P27" i="6" l="1"/>
  <c r="O28" i="6"/>
  <c r="C26" i="6"/>
  <c r="D26" i="6" s="1"/>
  <c r="E26" i="6" s="1"/>
  <c r="G26" i="6"/>
  <c r="H26" i="6" s="1"/>
  <c r="I26" i="6" s="1"/>
  <c r="O29" i="6" l="1"/>
  <c r="P28" i="6"/>
  <c r="G27" i="6"/>
  <c r="H27" i="6" s="1"/>
  <c r="I27" i="6" s="1"/>
  <c r="C27" i="6"/>
  <c r="D27" i="6" s="1"/>
  <c r="E27" i="6" s="1"/>
  <c r="C28" i="6" l="1"/>
  <c r="D28" i="6" s="1"/>
  <c r="E28" i="6" s="1"/>
  <c r="G28" i="6"/>
  <c r="H28" i="6" s="1"/>
  <c r="I28" i="6" s="1"/>
  <c r="P29" i="6"/>
  <c r="O30" i="6"/>
  <c r="G29" i="6" l="1"/>
  <c r="H29" i="6" s="1"/>
  <c r="I29" i="6" s="1"/>
  <c r="C29" i="6"/>
  <c r="D29" i="6" s="1"/>
  <c r="E29" i="6" s="1"/>
  <c r="O31" i="6"/>
  <c r="P30" i="6"/>
  <c r="C30" i="6" l="1"/>
  <c r="D30" i="6" s="1"/>
  <c r="E30" i="6" s="1"/>
  <c r="G30" i="6"/>
  <c r="H30" i="6" s="1"/>
  <c r="I30" i="6" s="1"/>
  <c r="P31" i="6"/>
  <c r="O32" i="6"/>
  <c r="G31" i="6" l="1"/>
  <c r="H31" i="6" s="1"/>
  <c r="I31" i="6" s="1"/>
  <c r="C31" i="6"/>
  <c r="D31" i="6" s="1"/>
  <c r="E31" i="6" s="1"/>
  <c r="O33" i="6"/>
  <c r="P32" i="6"/>
  <c r="C32" i="6" l="1"/>
  <c r="D32" i="6" s="1"/>
  <c r="E32" i="6" s="1"/>
  <c r="G32" i="6"/>
  <c r="H32" i="6" s="1"/>
  <c r="I32" i="6" s="1"/>
  <c r="O34" i="6"/>
  <c r="P33" i="6"/>
  <c r="G33" i="6" l="1"/>
  <c r="H33" i="6" s="1"/>
  <c r="I33" i="6" s="1"/>
  <c r="C33" i="6"/>
  <c r="D33" i="6" s="1"/>
  <c r="E33" i="6" s="1"/>
  <c r="O35" i="6"/>
  <c r="P34" i="6"/>
  <c r="C34" i="6" l="1"/>
  <c r="D34" i="6" s="1"/>
  <c r="E34" i="6" s="1"/>
  <c r="G34" i="6"/>
  <c r="H34" i="6" s="1"/>
  <c r="I34" i="6" s="1"/>
  <c r="O36" i="6"/>
  <c r="P35" i="6"/>
  <c r="G35" i="6" l="1"/>
  <c r="H35" i="6" s="1"/>
  <c r="I35" i="6" s="1"/>
  <c r="C35" i="6"/>
  <c r="D35" i="6" s="1"/>
  <c r="E35" i="6" s="1"/>
  <c r="O37" i="6"/>
  <c r="P36" i="6"/>
  <c r="C36" i="6" l="1"/>
  <c r="D36" i="6" s="1"/>
  <c r="E36" i="6" s="1"/>
  <c r="G36" i="6"/>
  <c r="H36" i="6" s="1"/>
  <c r="I36" i="6" s="1"/>
  <c r="O38" i="6"/>
  <c r="P37" i="6"/>
  <c r="G37" i="6" l="1"/>
  <c r="H37" i="6" s="1"/>
  <c r="I37" i="6" s="1"/>
  <c r="C37" i="6"/>
  <c r="D37" i="6" s="1"/>
  <c r="E37" i="6" s="1"/>
  <c r="O39" i="6"/>
  <c r="P39" i="6" s="1"/>
  <c r="P38" i="6"/>
  <c r="C38" i="6" l="1"/>
  <c r="D38" i="6" s="1"/>
  <c r="E38" i="6" s="1"/>
  <c r="G38" i="6"/>
  <c r="H38" i="6" s="1"/>
  <c r="I38" i="6" s="1"/>
  <c r="G39" i="6"/>
  <c r="H39" i="6" s="1"/>
  <c r="I39" i="6" s="1"/>
  <c r="C39" i="6"/>
  <c r="D39" i="6" s="1"/>
  <c r="E39" i="6" s="1"/>
</calcChain>
</file>

<file path=xl/sharedStrings.xml><?xml version="1.0" encoding="utf-8"?>
<sst xmlns="http://schemas.openxmlformats.org/spreadsheetml/2006/main" count="780" uniqueCount="77">
  <si>
    <t>Material</t>
  </si>
  <si>
    <t>RPM</t>
  </si>
  <si>
    <t>Fräsertyp</t>
  </si>
  <si>
    <t>mm</t>
  </si>
  <si>
    <t>Vc1 ~</t>
  </si>
  <si>
    <t>m/min</t>
  </si>
  <si>
    <t>Vc2 ~</t>
  </si>
  <si>
    <t>U/min</t>
  </si>
  <si>
    <t>IPM</t>
  </si>
  <si>
    <t>Spindle speed</t>
  </si>
  <si>
    <t>chip load</t>
  </si>
  <si>
    <t>Stack</t>
  </si>
  <si>
    <t>penetration</t>
  </si>
  <si>
    <t>mm/rev</t>
  </si>
  <si>
    <t>-</t>
  </si>
  <si>
    <t>SchnittdatenTabelle 1</t>
  </si>
  <si>
    <t>cutting data sheet 1</t>
  </si>
  <si>
    <t>Vc1</t>
  </si>
  <si>
    <t>Vc2</t>
  </si>
  <si>
    <t xml:space="preserve">chip load </t>
  </si>
  <si>
    <t>Al/Cu; IMS</t>
  </si>
  <si>
    <t>ECA30-R</t>
  </si>
  <si>
    <t>EAC30-R</t>
  </si>
  <si>
    <t>CAC20-R</t>
  </si>
  <si>
    <t>Diamantbeschichtet bei IMS</t>
  </si>
  <si>
    <t>FR2, FR3, FR4, CEM</t>
  </si>
  <si>
    <t>PE, PTFE, PMMA, Polyimid Flex</t>
  </si>
  <si>
    <t>Pak</t>
  </si>
  <si>
    <t>Anwendung:</t>
  </si>
  <si>
    <t>2. Max. Spindeldrehzahl eingeben</t>
  </si>
  <si>
    <t>3. Min. Spindeldrehzahl eingeben</t>
  </si>
  <si>
    <t>4. Parameterliste drucken</t>
  </si>
  <si>
    <t>Diamantbeschichtet bei FR4</t>
  </si>
  <si>
    <t>high TG, BT, Halogenfrei, Polyimid starr</t>
  </si>
  <si>
    <t>kleinster</t>
  </si>
  <si>
    <t>d</t>
  </si>
  <si>
    <t>CA20-R, CA30-R, DA30-R</t>
  </si>
  <si>
    <t>SC30-R, EA30-R</t>
  </si>
  <si>
    <t>dia</t>
  </si>
  <si>
    <t>infeed</t>
  </si>
  <si>
    <t>CA20-R, DA30-R, (EA30-R; EP30-R)</t>
  </si>
  <si>
    <t>Table feed (F)</t>
  </si>
  <si>
    <t>1. Materialgruppe auswählen</t>
  </si>
  <si>
    <t>TM14102020</t>
  </si>
  <si>
    <t>TM214102020</t>
  </si>
  <si>
    <t>Fräsercode</t>
  </si>
  <si>
    <t>code</t>
  </si>
  <si>
    <t>D</t>
  </si>
  <si>
    <t>Vc</t>
  </si>
  <si>
    <r>
      <t>Fräsertyp (</t>
    </r>
    <r>
      <rPr>
        <i/>
        <sz val="12"/>
        <color theme="1"/>
        <rFont val="Arial"/>
        <family val="2"/>
      </rPr>
      <t>Routertyp</t>
    </r>
    <r>
      <rPr>
        <sz val="12"/>
        <color theme="1"/>
        <rFont val="Arial"/>
        <family val="2"/>
      </rPr>
      <t>)</t>
    </r>
  </si>
  <si>
    <t>Application:</t>
  </si>
  <si>
    <t>2. max. spindle speed</t>
  </si>
  <si>
    <t>3. min. spindle speed</t>
  </si>
  <si>
    <t>4. print list</t>
  </si>
  <si>
    <t>1. voite material group</t>
  </si>
  <si>
    <t>TM29102021</t>
  </si>
  <si>
    <t>FR4 with aluminium</t>
  </si>
  <si>
    <t>EA30-R, EP30-R</t>
  </si>
  <si>
    <t>n2</t>
  </si>
  <si>
    <t>n1</t>
  </si>
  <si>
    <t>min</t>
  </si>
  <si>
    <t>TM04052023</t>
  </si>
  <si>
    <t>Routerparameter calculator</t>
  </si>
  <si>
    <t>max. spindle rpm</t>
  </si>
  <si>
    <t>min. spindle rpm</t>
  </si>
  <si>
    <t>factor</t>
  </si>
  <si>
    <t>max.stack</t>
  </si>
  <si>
    <t>router type</t>
  </si>
  <si>
    <t>rpm</t>
  </si>
  <si>
    <t>router</t>
  </si>
  <si>
    <t>diameter</t>
  </si>
  <si>
    <t>spindle rpm</t>
  </si>
  <si>
    <t>infeed (F)</t>
  </si>
  <si>
    <t>stack-</t>
  </si>
  <si>
    <t>thickness</t>
  </si>
  <si>
    <t>routing depth into backup</t>
  </si>
  <si>
    <t>predrilling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</si>
</sst>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"/>
    <numFmt numFmtId="167" formatCode="#,##0.0"/>
  </numFmts>
  <fonts count="3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i/>
      <sz val="16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2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0"/>
      <name val="Arial"/>
      <family val="2"/>
    </font>
    <font>
      <sz val="2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2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  <font>
      <i/>
      <sz val="18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73">
    <xf numFmtId="0" fontId="0" fillId="0" borderId="0" xfId="0"/>
    <xf numFmtId="0" fontId="3" fillId="0" borderId="0" xfId="1"/>
    <xf numFmtId="0" fontId="4" fillId="0" borderId="0" xfId="1" applyFont="1"/>
    <xf numFmtId="0" fontId="8" fillId="0" borderId="0" xfId="1" applyFont="1" applyAlignment="1">
      <alignment horizontal="center" vertical="center"/>
    </xf>
    <xf numFmtId="0" fontId="3" fillId="0" borderId="0" xfId="1" applyAlignment="1">
      <alignment vertical="center"/>
    </xf>
    <xf numFmtId="0" fontId="15" fillId="0" borderId="0" xfId="1" applyFont="1"/>
    <xf numFmtId="0" fontId="5" fillId="0" borderId="0" xfId="1" applyFont="1"/>
    <xf numFmtId="0" fontId="12" fillId="0" borderId="0" xfId="1" applyFont="1"/>
    <xf numFmtId="0" fontId="16" fillId="0" borderId="0" xfId="1" applyFont="1"/>
    <xf numFmtId="0" fontId="16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1" fontId="6" fillId="2" borderId="9" xfId="1" applyNumberFormat="1" applyFont="1" applyFill="1" applyBorder="1" applyAlignment="1">
      <alignment horizontal="center"/>
    </xf>
    <xf numFmtId="1" fontId="6" fillId="2" borderId="16" xfId="1" applyNumberFormat="1" applyFont="1" applyFill="1" applyBorder="1" applyAlignment="1">
      <alignment horizontal="center"/>
    </xf>
    <xf numFmtId="2" fontId="16" fillId="0" borderId="0" xfId="1" applyNumberFormat="1" applyFont="1" applyAlignment="1">
      <alignment horizontal="center"/>
    </xf>
    <xf numFmtId="0" fontId="17" fillId="0" borderId="0" xfId="1" applyFont="1" applyAlignment="1">
      <alignment horizontal="left"/>
    </xf>
    <xf numFmtId="0" fontId="16" fillId="0" borderId="0" xfId="1" applyFont="1" applyAlignment="1">
      <alignment horizontal="left"/>
    </xf>
    <xf numFmtId="0" fontId="12" fillId="0" borderId="1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165" fontId="12" fillId="0" borderId="9" xfId="1" applyNumberFormat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/>
    </xf>
    <xf numFmtId="2" fontId="18" fillId="0" borderId="0" xfId="1" applyNumberFormat="1" applyFont="1" applyAlignment="1">
      <alignment horizontal="center"/>
    </xf>
    <xf numFmtId="2" fontId="9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166" fontId="12" fillId="0" borderId="0" xfId="1" applyNumberFormat="1" applyFont="1" applyAlignment="1">
      <alignment horizontal="center"/>
    </xf>
    <xf numFmtId="166" fontId="12" fillId="3" borderId="0" xfId="1" applyNumberFormat="1" applyFont="1" applyFill="1" applyAlignment="1">
      <alignment horizontal="center"/>
    </xf>
    <xf numFmtId="0" fontId="12" fillId="3" borderId="0" xfId="1" applyFont="1" applyFill="1" applyAlignment="1">
      <alignment horizontal="center"/>
    </xf>
    <xf numFmtId="166" fontId="4" fillId="0" borderId="0" xfId="1" applyNumberFormat="1" applyFont="1" applyAlignment="1">
      <alignment horizontal="center"/>
    </xf>
    <xf numFmtId="2" fontId="12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center"/>
    </xf>
    <xf numFmtId="166" fontId="13" fillId="0" borderId="0" xfId="1" applyNumberFormat="1" applyFont="1" applyAlignment="1">
      <alignment horizontal="center"/>
    </xf>
    <xf numFmtId="0" fontId="8" fillId="0" borderId="0" xfId="1" applyFont="1" applyAlignment="1">
      <alignment wrapText="1"/>
    </xf>
    <xf numFmtId="0" fontId="19" fillId="0" borderId="0" xfId="1" applyFont="1"/>
    <xf numFmtId="0" fontId="8" fillId="0" borderId="0" xfId="1" applyFont="1"/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/>
    </xf>
    <xf numFmtId="3" fontId="6" fillId="0" borderId="27" xfId="1" applyNumberFormat="1" applyFont="1" applyBorder="1" applyAlignment="1">
      <alignment horizontal="center"/>
    </xf>
    <xf numFmtId="3" fontId="6" fillId="0" borderId="29" xfId="1" applyNumberFormat="1" applyFont="1" applyBorder="1" applyAlignment="1">
      <alignment horizontal="center"/>
    </xf>
    <xf numFmtId="0" fontId="13" fillId="0" borderId="11" xfId="1" applyFont="1" applyBorder="1" applyAlignment="1">
      <alignment horizontal="center"/>
    </xf>
    <xf numFmtId="165" fontId="6" fillId="2" borderId="11" xfId="1" applyNumberFormat="1" applyFont="1" applyFill="1" applyBorder="1" applyAlignment="1">
      <alignment horizontal="center"/>
    </xf>
    <xf numFmtId="0" fontId="13" fillId="0" borderId="35" xfId="1" applyFont="1" applyBorder="1" applyAlignment="1">
      <alignment horizontal="center"/>
    </xf>
    <xf numFmtId="0" fontId="13" fillId="0" borderId="36" xfId="1" applyFont="1" applyBorder="1" applyAlignment="1">
      <alignment horizontal="center"/>
    </xf>
    <xf numFmtId="0" fontId="13" fillId="0" borderId="37" xfId="1" applyFont="1" applyBorder="1" applyAlignment="1">
      <alignment horizontal="center"/>
    </xf>
    <xf numFmtId="0" fontId="13" fillId="0" borderId="27" xfId="1" applyFont="1" applyBorder="1" applyAlignment="1">
      <alignment horizontal="center"/>
    </xf>
    <xf numFmtId="0" fontId="13" fillId="0" borderId="14" xfId="1" applyFont="1" applyBorder="1" applyAlignment="1">
      <alignment horizontal="center"/>
    </xf>
    <xf numFmtId="164" fontId="13" fillId="0" borderId="15" xfId="1" applyNumberFormat="1" applyFont="1" applyBorder="1" applyAlignment="1">
      <alignment horizontal="center"/>
    </xf>
    <xf numFmtId="165" fontId="13" fillId="0" borderId="15" xfId="1" applyNumberFormat="1" applyFont="1" applyBorder="1" applyAlignment="1">
      <alignment horizontal="center"/>
    </xf>
    <xf numFmtId="164" fontId="13" fillId="0" borderId="16" xfId="1" applyNumberFormat="1" applyFont="1" applyBorder="1" applyAlignment="1">
      <alignment horizontal="center"/>
    </xf>
    <xf numFmtId="0" fontId="13" fillId="0" borderId="28" xfId="1" applyFont="1" applyBorder="1" applyAlignment="1">
      <alignment horizontal="center"/>
    </xf>
    <xf numFmtId="165" fontId="13" fillId="0" borderId="13" xfId="1" applyNumberFormat="1" applyFont="1" applyBorder="1" applyAlignment="1">
      <alignment horizontal="center"/>
    </xf>
    <xf numFmtId="0" fontId="8" fillId="3" borderId="2" xfId="1" applyFont="1" applyFill="1" applyBorder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164" fontId="6" fillId="2" borderId="17" xfId="1" applyNumberFormat="1" applyFont="1" applyFill="1" applyBorder="1" applyAlignment="1">
      <alignment horizontal="center"/>
    </xf>
    <xf numFmtId="164" fontId="6" fillId="2" borderId="18" xfId="1" applyNumberFormat="1" applyFont="1" applyFill="1" applyBorder="1" applyAlignment="1">
      <alignment horizontal="center"/>
    </xf>
    <xf numFmtId="2" fontId="6" fillId="2" borderId="18" xfId="1" applyNumberFormat="1" applyFont="1" applyFill="1" applyBorder="1" applyAlignment="1">
      <alignment horizontal="center"/>
    </xf>
    <xf numFmtId="167" fontId="6" fillId="5" borderId="15" xfId="1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165" fontId="12" fillId="0" borderId="0" xfId="1" applyNumberFormat="1" applyFont="1" applyAlignment="1">
      <alignment horizontal="center"/>
    </xf>
    <xf numFmtId="165" fontId="12" fillId="0" borderId="17" xfId="1" applyNumberFormat="1" applyFont="1" applyBorder="1" applyAlignment="1">
      <alignment horizontal="center" vertical="center"/>
    </xf>
    <xf numFmtId="165" fontId="12" fillId="0" borderId="18" xfId="1" applyNumberFormat="1" applyFont="1" applyBorder="1" applyAlignment="1">
      <alignment horizontal="center" vertical="center"/>
    </xf>
    <xf numFmtId="0" fontId="21" fillId="0" borderId="0" xfId="1" applyFont="1" applyAlignment="1">
      <alignment horizontal="center"/>
    </xf>
    <xf numFmtId="0" fontId="12" fillId="0" borderId="0" xfId="1" applyFont="1" applyAlignment="1">
      <alignment horizontal="left" vertical="center"/>
    </xf>
    <xf numFmtId="0" fontId="6" fillId="0" borderId="22" xfId="1" applyFont="1" applyBorder="1" applyAlignment="1">
      <alignment horizontal="left"/>
    </xf>
    <xf numFmtId="0" fontId="6" fillId="0" borderId="16" xfId="1" applyFont="1" applyBorder="1" applyAlignment="1">
      <alignment horizontal="left"/>
    </xf>
    <xf numFmtId="0" fontId="6" fillId="0" borderId="2" xfId="1" applyFont="1" applyBorder="1" applyAlignment="1">
      <alignment horizontal="center" vertical="center"/>
    </xf>
    <xf numFmtId="0" fontId="6" fillId="0" borderId="21" xfId="1" applyFont="1" applyBorder="1" applyAlignment="1">
      <alignment horizontal="right"/>
    </xf>
    <xf numFmtId="3" fontId="6" fillId="4" borderId="17" xfId="1" applyNumberFormat="1" applyFont="1" applyFill="1" applyBorder="1" applyAlignment="1">
      <alignment horizontal="center"/>
    </xf>
    <xf numFmtId="3" fontId="6" fillId="4" borderId="15" xfId="1" applyNumberFormat="1" applyFont="1" applyFill="1" applyBorder="1" applyAlignment="1">
      <alignment horizontal="center"/>
    </xf>
    <xf numFmtId="0" fontId="12" fillId="0" borderId="22" xfId="1" applyFont="1" applyBorder="1"/>
    <xf numFmtId="0" fontId="6" fillId="5" borderId="24" xfId="1" applyFont="1" applyFill="1" applyBorder="1" applyAlignment="1">
      <alignment horizontal="right" vertical="center"/>
    </xf>
    <xf numFmtId="0" fontId="6" fillId="5" borderId="41" xfId="1" applyFont="1" applyFill="1" applyBorder="1" applyAlignment="1">
      <alignment horizontal="center" vertical="center"/>
    </xf>
    <xf numFmtId="2" fontId="6" fillId="2" borderId="17" xfId="1" applyNumberFormat="1" applyFont="1" applyFill="1" applyBorder="1" applyAlignment="1">
      <alignment horizontal="center"/>
    </xf>
    <xf numFmtId="0" fontId="17" fillId="0" borderId="39" xfId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6" fillId="3" borderId="2" xfId="1" applyFont="1" applyFill="1" applyBorder="1" applyAlignment="1">
      <alignment horizontal="right"/>
    </xf>
    <xf numFmtId="3" fontId="6" fillId="3" borderId="43" xfId="1" applyNumberFormat="1" applyFont="1" applyFill="1" applyBorder="1" applyAlignment="1">
      <alignment horizontal="center"/>
    </xf>
    <xf numFmtId="0" fontId="6" fillId="3" borderId="44" xfId="1" applyFont="1" applyFill="1" applyBorder="1" applyAlignment="1">
      <alignment horizontal="left"/>
    </xf>
    <xf numFmtId="0" fontId="6" fillId="3" borderId="43" xfId="1" applyFont="1" applyFill="1" applyBorder="1" applyAlignment="1">
      <alignment horizontal="center" wrapText="1"/>
    </xf>
    <xf numFmtId="0" fontId="20" fillId="3" borderId="44" xfId="1" applyFont="1" applyFill="1" applyBorder="1" applyAlignment="1">
      <alignment wrapText="1"/>
    </xf>
    <xf numFmtId="167" fontId="6" fillId="3" borderId="43" xfId="1" applyNumberFormat="1" applyFont="1" applyFill="1" applyBorder="1" applyAlignment="1">
      <alignment horizontal="center"/>
    </xf>
    <xf numFmtId="49" fontId="12" fillId="3" borderId="38" xfId="1" applyNumberFormat="1" applyFont="1" applyFill="1" applyBorder="1" applyAlignment="1">
      <alignment horizontal="left" wrapText="1"/>
    </xf>
    <xf numFmtId="0" fontId="3" fillId="3" borderId="38" xfId="1" applyFill="1" applyBorder="1" applyAlignment="1">
      <alignment wrapText="1"/>
    </xf>
    <xf numFmtId="0" fontId="3" fillId="3" borderId="0" xfId="1" applyFill="1" applyAlignment="1">
      <alignment wrapText="1"/>
    </xf>
    <xf numFmtId="0" fontId="12" fillId="3" borderId="0" xfId="1" applyFont="1" applyFill="1"/>
    <xf numFmtId="0" fontId="0" fillId="3" borderId="0" xfId="0" applyFill="1"/>
    <xf numFmtId="0" fontId="12" fillId="0" borderId="45" xfId="1" applyFont="1" applyBorder="1"/>
    <xf numFmtId="0" fontId="12" fillId="0" borderId="46" xfId="1" applyFont="1" applyBorder="1"/>
    <xf numFmtId="0" fontId="17" fillId="0" borderId="0" xfId="1" applyFont="1" applyAlignment="1">
      <alignment horizontal="center"/>
    </xf>
    <xf numFmtId="3" fontId="6" fillId="3" borderId="27" xfId="1" applyNumberFormat="1" applyFont="1" applyFill="1" applyBorder="1" applyAlignment="1">
      <alignment horizontal="center"/>
    </xf>
    <xf numFmtId="0" fontId="3" fillId="0" borderId="18" xfId="1" applyBorder="1" applyAlignment="1">
      <alignment horizontal="center"/>
    </xf>
    <xf numFmtId="0" fontId="3" fillId="0" borderId="12" xfId="1" applyBorder="1" applyAlignment="1">
      <alignment horizontal="center"/>
    </xf>
    <xf numFmtId="166" fontId="12" fillId="3" borderId="0" xfId="0" applyNumberFormat="1" applyFont="1" applyFill="1" applyAlignment="1">
      <alignment horizontal="center"/>
    </xf>
    <xf numFmtId="2" fontId="6" fillId="2" borderId="22" xfId="1" applyNumberFormat="1" applyFont="1" applyFill="1" applyBorder="1" applyAlignment="1">
      <alignment horizontal="center"/>
    </xf>
    <xf numFmtId="164" fontId="6" fillId="3" borderId="18" xfId="1" applyNumberFormat="1" applyFont="1" applyFill="1" applyBorder="1" applyAlignment="1">
      <alignment horizontal="center"/>
    </xf>
    <xf numFmtId="2" fontId="6" fillId="3" borderId="18" xfId="1" applyNumberFormat="1" applyFont="1" applyFill="1" applyBorder="1" applyAlignment="1">
      <alignment horizontal="center"/>
    </xf>
    <xf numFmtId="2" fontId="6" fillId="3" borderId="9" xfId="1" applyNumberFormat="1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165" fontId="12" fillId="0" borderId="22" xfId="1" applyNumberFormat="1" applyFont="1" applyBorder="1" applyAlignment="1">
      <alignment horizontal="center" vertical="center"/>
    </xf>
    <xf numFmtId="0" fontId="28" fillId="0" borderId="0" xfId="0" applyFont="1"/>
    <xf numFmtId="0" fontId="28" fillId="3" borderId="0" xfId="0" applyFont="1" applyFill="1"/>
    <xf numFmtId="0" fontId="17" fillId="0" borderId="0" xfId="0" applyFont="1" applyAlignment="1">
      <alignment horizontal="center"/>
    </xf>
    <xf numFmtId="0" fontId="13" fillId="0" borderId="12" xfId="1" applyFont="1" applyBorder="1" applyAlignment="1">
      <alignment horizontal="center"/>
    </xf>
    <xf numFmtId="14" fontId="12" fillId="0" borderId="0" xfId="1" applyNumberFormat="1" applyFont="1" applyAlignment="1">
      <alignment horizontal="center"/>
    </xf>
    <xf numFmtId="0" fontId="6" fillId="0" borderId="52" xfId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/>
    </xf>
    <xf numFmtId="0" fontId="13" fillId="0" borderId="54" xfId="1" applyFont="1" applyBorder="1" applyAlignment="1">
      <alignment horizontal="center"/>
    </xf>
    <xf numFmtId="0" fontId="13" fillId="0" borderId="47" xfId="1" applyFont="1" applyBorder="1" applyAlignment="1">
      <alignment horizontal="center"/>
    </xf>
    <xf numFmtId="2" fontId="6" fillId="3" borderId="55" xfId="1" applyNumberFormat="1" applyFont="1" applyFill="1" applyBorder="1" applyAlignment="1">
      <alignment horizontal="center"/>
    </xf>
    <xf numFmtId="2" fontId="6" fillId="2" borderId="55" xfId="1" applyNumberFormat="1" applyFont="1" applyFill="1" applyBorder="1" applyAlignment="1">
      <alignment horizontal="center"/>
    </xf>
    <xf numFmtId="2" fontId="6" fillId="2" borderId="47" xfId="1" applyNumberFormat="1" applyFont="1" applyFill="1" applyBorder="1" applyAlignment="1">
      <alignment horizontal="center"/>
    </xf>
    <xf numFmtId="166" fontId="6" fillId="0" borderId="59" xfId="1" applyNumberFormat="1" applyFont="1" applyBorder="1" applyAlignment="1">
      <alignment horizontal="center"/>
    </xf>
    <xf numFmtId="166" fontId="13" fillId="0" borderId="60" xfId="1" applyNumberFormat="1" applyFont="1" applyBorder="1" applyAlignment="1">
      <alignment horizontal="center"/>
    </xf>
    <xf numFmtId="166" fontId="13" fillId="0" borderId="49" xfId="1" applyNumberFormat="1" applyFont="1" applyBorder="1" applyAlignment="1">
      <alignment horizontal="center"/>
    </xf>
    <xf numFmtId="2" fontId="6" fillId="6" borderId="56" xfId="1" applyNumberFormat="1" applyFont="1" applyFill="1" applyBorder="1" applyAlignment="1">
      <alignment horizontal="center"/>
    </xf>
    <xf numFmtId="2" fontId="6" fillId="3" borderId="57" xfId="1" applyNumberFormat="1" applyFont="1" applyFill="1" applyBorder="1" applyAlignment="1">
      <alignment horizontal="center"/>
    </xf>
    <xf numFmtId="2" fontId="6" fillId="6" borderId="57" xfId="1" applyNumberFormat="1" applyFont="1" applyFill="1" applyBorder="1" applyAlignment="1">
      <alignment horizontal="center"/>
    </xf>
    <xf numFmtId="3" fontId="6" fillId="6" borderId="21" xfId="1" applyNumberFormat="1" applyFont="1" applyFill="1" applyBorder="1" applyAlignment="1">
      <alignment horizontal="center"/>
    </xf>
    <xf numFmtId="1" fontId="6" fillId="2" borderId="22" xfId="1" applyNumberFormat="1" applyFont="1" applyFill="1" applyBorder="1" applyAlignment="1">
      <alignment horizontal="center"/>
    </xf>
    <xf numFmtId="3" fontId="6" fillId="3" borderId="8" xfId="1" applyNumberFormat="1" applyFont="1" applyFill="1" applyBorder="1" applyAlignment="1">
      <alignment horizontal="center"/>
    </xf>
    <xf numFmtId="1" fontId="6" fillId="3" borderId="9" xfId="1" applyNumberFormat="1" applyFont="1" applyFill="1" applyBorder="1" applyAlignment="1">
      <alignment horizontal="center"/>
    </xf>
    <xf numFmtId="3" fontId="6" fillId="6" borderId="8" xfId="1" applyNumberFormat="1" applyFont="1" applyFill="1" applyBorder="1" applyAlignment="1">
      <alignment horizontal="center"/>
    </xf>
    <xf numFmtId="3" fontId="6" fillId="6" borderId="14" xfId="1" applyNumberFormat="1" applyFont="1" applyFill="1" applyBorder="1" applyAlignment="1">
      <alignment horizontal="center"/>
    </xf>
    <xf numFmtId="164" fontId="6" fillId="2" borderId="15" xfId="1" applyNumberFormat="1" applyFont="1" applyFill="1" applyBorder="1" applyAlignment="1">
      <alignment horizontal="center"/>
    </xf>
    <xf numFmtId="2" fontId="6" fillId="2" borderId="15" xfId="1" applyNumberFormat="1" applyFont="1" applyFill="1" applyBorder="1" applyAlignment="1">
      <alignment horizontal="center"/>
    </xf>
    <xf numFmtId="165" fontId="13" fillId="0" borderId="16" xfId="1" applyNumberFormat="1" applyFont="1" applyBorder="1" applyAlignment="1">
      <alignment horizontal="center"/>
    </xf>
    <xf numFmtId="166" fontId="6" fillId="0" borderId="46" xfId="1" applyNumberFormat="1" applyFont="1" applyBorder="1" applyAlignment="1">
      <alignment horizontal="center"/>
    </xf>
    <xf numFmtId="0" fontId="6" fillId="0" borderId="58" xfId="1" applyFont="1" applyBorder="1" applyAlignment="1">
      <alignment horizontal="center"/>
    </xf>
    <xf numFmtId="0" fontId="3" fillId="0" borderId="18" xfId="1" applyBorder="1"/>
    <xf numFmtId="0" fontId="12" fillId="0" borderId="12" xfId="1" applyFont="1" applyBorder="1" applyAlignment="1">
      <alignment horizontal="center"/>
    </xf>
    <xf numFmtId="2" fontId="6" fillId="2" borderId="61" xfId="1" applyNumberFormat="1" applyFont="1" applyFill="1" applyBorder="1" applyAlignment="1">
      <alignment horizontal="center"/>
    </xf>
    <xf numFmtId="2" fontId="6" fillId="3" borderId="61" xfId="1" applyNumberFormat="1" applyFont="1" applyFill="1" applyBorder="1" applyAlignment="1">
      <alignment horizontal="center"/>
    </xf>
    <xf numFmtId="2" fontId="6" fillId="2" borderId="23" xfId="1" applyNumberFormat="1" applyFont="1" applyFill="1" applyBorder="1" applyAlignment="1">
      <alignment horizontal="center"/>
    </xf>
    <xf numFmtId="2" fontId="6" fillId="6" borderId="61" xfId="1" applyNumberFormat="1" applyFont="1" applyFill="1" applyBorder="1" applyAlignment="1">
      <alignment horizontal="center"/>
    </xf>
    <xf numFmtId="2" fontId="12" fillId="0" borderId="2" xfId="1" applyNumberFormat="1" applyFont="1" applyBorder="1" applyAlignment="1">
      <alignment horizontal="left" vertical="center"/>
    </xf>
    <xf numFmtId="49" fontId="0" fillId="0" borderId="30" xfId="0" applyNumberFormat="1" applyBorder="1"/>
    <xf numFmtId="0" fontId="12" fillId="0" borderId="1" xfId="1" applyFont="1" applyBorder="1" applyAlignment="1">
      <alignment horizontal="center"/>
    </xf>
    <xf numFmtId="49" fontId="3" fillId="3" borderId="48" xfId="1" applyNumberFormat="1" applyFill="1" applyBorder="1"/>
    <xf numFmtId="49" fontId="3" fillId="3" borderId="49" xfId="1" applyNumberFormat="1" applyFill="1" applyBorder="1"/>
    <xf numFmtId="0" fontId="17" fillId="0" borderId="50" xfId="1" applyFont="1" applyBorder="1" applyAlignment="1">
      <alignment horizontal="center"/>
    </xf>
    <xf numFmtId="49" fontId="17" fillId="0" borderId="62" xfId="1" applyNumberFormat="1" applyFont="1" applyBorder="1" applyAlignment="1">
      <alignment horizontal="center"/>
    </xf>
    <xf numFmtId="49" fontId="17" fillId="0" borderId="63" xfId="1" applyNumberFormat="1" applyFont="1" applyBorder="1" applyAlignment="1">
      <alignment horizontal="center"/>
    </xf>
    <xf numFmtId="49" fontId="17" fillId="0" borderId="64" xfId="1" applyNumberFormat="1" applyFont="1" applyBorder="1" applyAlignment="1">
      <alignment horizontal="center"/>
    </xf>
    <xf numFmtId="0" fontId="12" fillId="0" borderId="67" xfId="1" applyFont="1" applyBorder="1" applyAlignment="1">
      <alignment horizontal="center" vertical="center"/>
    </xf>
    <xf numFmtId="0" fontId="12" fillId="0" borderId="68" xfId="1" applyFont="1" applyBorder="1" applyAlignment="1">
      <alignment horizontal="center" vertical="center"/>
    </xf>
    <xf numFmtId="0" fontId="21" fillId="0" borderId="67" xfId="1" applyFont="1" applyBorder="1" applyAlignment="1">
      <alignment horizontal="center"/>
    </xf>
    <xf numFmtId="0" fontId="20" fillId="0" borderId="67" xfId="1" applyFont="1" applyBorder="1" applyAlignment="1">
      <alignment horizontal="center"/>
    </xf>
    <xf numFmtId="0" fontId="12" fillId="0" borderId="24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12" fillId="0" borderId="69" xfId="1" applyFont="1" applyBorder="1" applyAlignment="1">
      <alignment horizontal="center" vertical="center" wrapText="1"/>
    </xf>
    <xf numFmtId="0" fontId="3" fillId="0" borderId="41" xfId="1" applyBorder="1" applyAlignment="1">
      <alignment horizontal="center"/>
    </xf>
    <xf numFmtId="0" fontId="12" fillId="0" borderId="41" xfId="1" applyFont="1" applyBorder="1" applyAlignment="1">
      <alignment horizontal="center"/>
    </xf>
    <xf numFmtId="165" fontId="6" fillId="3" borderId="1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3" borderId="0" xfId="1" applyFont="1" applyFill="1" applyAlignment="1">
      <alignment horizontal="right" vertical="center"/>
    </xf>
    <xf numFmtId="2" fontId="6" fillId="2" borderId="19" xfId="1" applyNumberFormat="1" applyFont="1" applyFill="1" applyBorder="1" applyAlignment="1">
      <alignment horizontal="center"/>
    </xf>
    <xf numFmtId="49" fontId="6" fillId="5" borderId="47" xfId="1" applyNumberFormat="1" applyFont="1" applyFill="1" applyBorder="1" applyAlignment="1">
      <alignment horizontal="center"/>
    </xf>
    <xf numFmtId="2" fontId="6" fillId="3" borderId="19" xfId="1" applyNumberFormat="1" applyFont="1" applyFill="1" applyBorder="1" applyAlignment="1">
      <alignment horizontal="center"/>
    </xf>
    <xf numFmtId="0" fontId="12" fillId="0" borderId="21" xfId="1" applyFont="1" applyBorder="1" applyAlignment="1">
      <alignment horizontal="center"/>
    </xf>
    <xf numFmtId="0" fontId="12" fillId="0" borderId="22" xfId="1" applyFont="1" applyBorder="1" applyAlignment="1">
      <alignment horizontal="center"/>
    </xf>
    <xf numFmtId="2" fontId="12" fillId="5" borderId="17" xfId="1" applyNumberFormat="1" applyFont="1" applyFill="1" applyBorder="1" applyAlignment="1">
      <alignment horizontal="center"/>
    </xf>
    <xf numFmtId="2" fontId="12" fillId="3" borderId="17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3" fontId="12" fillId="6" borderId="21" xfId="1" applyNumberFormat="1" applyFont="1" applyFill="1" applyBorder="1" applyAlignment="1">
      <alignment horizontal="center"/>
    </xf>
    <xf numFmtId="164" fontId="12" fillId="2" borderId="17" xfId="1" applyNumberFormat="1" applyFont="1" applyFill="1" applyBorder="1" applyAlignment="1">
      <alignment horizontal="center"/>
    </xf>
    <xf numFmtId="2" fontId="12" fillId="2" borderId="17" xfId="1" applyNumberFormat="1" applyFont="1" applyFill="1" applyBorder="1" applyAlignment="1">
      <alignment horizontal="center"/>
    </xf>
    <xf numFmtId="1" fontId="12" fillId="2" borderId="22" xfId="1" applyNumberFormat="1" applyFont="1" applyFill="1" applyBorder="1" applyAlignment="1">
      <alignment horizontal="center"/>
    </xf>
    <xf numFmtId="2" fontId="12" fillId="6" borderId="56" xfId="1" applyNumberFormat="1" applyFont="1" applyFill="1" applyBorder="1" applyAlignment="1">
      <alignment horizontal="center"/>
    </xf>
    <xf numFmtId="2" fontId="12" fillId="2" borderId="22" xfId="1" applyNumberFormat="1" applyFont="1" applyFill="1" applyBorder="1" applyAlignment="1">
      <alignment horizontal="center"/>
    </xf>
    <xf numFmtId="3" fontId="12" fillId="0" borderId="27" xfId="1" applyNumberFormat="1" applyFont="1" applyBorder="1" applyAlignment="1">
      <alignment horizontal="center"/>
    </xf>
    <xf numFmtId="165" fontId="12" fillId="2" borderId="11" xfId="1" applyNumberFormat="1" applyFont="1" applyFill="1" applyBorder="1" applyAlignment="1">
      <alignment horizontal="center"/>
    </xf>
    <xf numFmtId="2" fontId="12" fillId="2" borderId="19" xfId="1" applyNumberFormat="1" applyFont="1" applyFill="1" applyBorder="1" applyAlignment="1">
      <alignment horizontal="center"/>
    </xf>
    <xf numFmtId="2" fontId="12" fillId="3" borderId="61" xfId="1" applyNumberFormat="1" applyFont="1" applyFill="1" applyBorder="1" applyAlignment="1">
      <alignment horizontal="center"/>
    </xf>
    <xf numFmtId="3" fontId="12" fillId="3" borderId="8" xfId="1" applyNumberFormat="1" applyFont="1" applyFill="1" applyBorder="1" applyAlignment="1">
      <alignment horizontal="center"/>
    </xf>
    <xf numFmtId="164" fontId="12" fillId="3" borderId="18" xfId="1" applyNumberFormat="1" applyFont="1" applyFill="1" applyBorder="1" applyAlignment="1">
      <alignment horizontal="center"/>
    </xf>
    <xf numFmtId="2" fontId="12" fillId="3" borderId="18" xfId="1" applyNumberFormat="1" applyFont="1" applyFill="1" applyBorder="1" applyAlignment="1">
      <alignment horizontal="center"/>
    </xf>
    <xf numFmtId="1" fontId="12" fillId="3" borderId="9" xfId="1" applyNumberFormat="1" applyFont="1" applyFill="1" applyBorder="1" applyAlignment="1">
      <alignment horizontal="center"/>
    </xf>
    <xf numFmtId="2" fontId="12" fillId="3" borderId="57" xfId="1" applyNumberFormat="1" applyFont="1" applyFill="1" applyBorder="1" applyAlignment="1">
      <alignment horizontal="center"/>
    </xf>
    <xf numFmtId="2" fontId="12" fillId="3" borderId="9" xfId="1" applyNumberFormat="1" applyFont="1" applyFill="1" applyBorder="1" applyAlignment="1">
      <alignment horizontal="center"/>
    </xf>
    <xf numFmtId="3" fontId="12" fillId="3" borderId="27" xfId="1" applyNumberFormat="1" applyFont="1" applyFill="1" applyBorder="1" applyAlignment="1">
      <alignment horizontal="center"/>
    </xf>
    <xf numFmtId="165" fontId="12" fillId="3" borderId="11" xfId="1" applyNumberFormat="1" applyFont="1" applyFill="1" applyBorder="1" applyAlignment="1">
      <alignment horizontal="center"/>
    </xf>
    <xf numFmtId="2" fontId="12" fillId="3" borderId="19" xfId="1" applyNumberFormat="1" applyFont="1" applyFill="1" applyBorder="1" applyAlignment="1">
      <alignment horizontal="center"/>
    </xf>
    <xf numFmtId="2" fontId="12" fillId="2" borderId="61" xfId="1" applyNumberFormat="1" applyFont="1" applyFill="1" applyBorder="1" applyAlignment="1">
      <alignment horizontal="center"/>
    </xf>
    <xf numFmtId="3" fontId="12" fillId="6" borderId="8" xfId="1" applyNumberFormat="1" applyFont="1" applyFill="1" applyBorder="1" applyAlignment="1">
      <alignment horizontal="center"/>
    </xf>
    <xf numFmtId="164" fontId="12" fillId="2" borderId="18" xfId="1" applyNumberFormat="1" applyFont="1" applyFill="1" applyBorder="1" applyAlignment="1">
      <alignment horizontal="center"/>
    </xf>
    <xf numFmtId="2" fontId="12" fillId="2" borderId="18" xfId="1" applyNumberFormat="1" applyFont="1" applyFill="1" applyBorder="1" applyAlignment="1">
      <alignment horizontal="center"/>
    </xf>
    <xf numFmtId="1" fontId="12" fillId="2" borderId="9" xfId="1" applyNumberFormat="1" applyFont="1" applyFill="1" applyBorder="1" applyAlignment="1">
      <alignment horizontal="center"/>
    </xf>
    <xf numFmtId="2" fontId="12" fillId="6" borderId="57" xfId="1" applyNumberFormat="1" applyFont="1" applyFill="1" applyBorder="1" applyAlignment="1">
      <alignment horizontal="center"/>
    </xf>
    <xf numFmtId="2" fontId="12" fillId="2" borderId="9" xfId="1" applyNumberFormat="1" applyFont="1" applyFill="1" applyBorder="1" applyAlignment="1">
      <alignment horizontal="center"/>
    </xf>
    <xf numFmtId="2" fontId="12" fillId="3" borderId="0" xfId="1" applyNumberFormat="1" applyFont="1" applyFill="1" applyAlignment="1">
      <alignment horizontal="center"/>
    </xf>
    <xf numFmtId="0" fontId="12" fillId="0" borderId="62" xfId="1" applyFont="1" applyBorder="1" applyAlignment="1">
      <alignment horizontal="center" vertical="center"/>
    </xf>
    <xf numFmtId="0" fontId="0" fillId="0" borderId="65" xfId="0" applyBorder="1"/>
    <xf numFmtId="0" fontId="0" fillId="0" borderId="66" xfId="0" applyBorder="1"/>
    <xf numFmtId="2" fontId="12" fillId="0" borderId="21" xfId="1" applyNumberFormat="1" applyFont="1" applyBorder="1" applyAlignment="1">
      <alignment horizontal="left" vertical="center"/>
    </xf>
    <xf numFmtId="0" fontId="0" fillId="0" borderId="22" xfId="0" applyBorder="1"/>
    <xf numFmtId="2" fontId="12" fillId="0" borderId="8" xfId="1" applyNumberFormat="1" applyFont="1" applyBorder="1" applyAlignment="1">
      <alignment horizontal="left" vertical="center"/>
    </xf>
    <xf numFmtId="0" fontId="0" fillId="0" borderId="9" xfId="0" applyBorder="1"/>
    <xf numFmtId="0" fontId="28" fillId="0" borderId="8" xfId="0" applyFont="1" applyBorder="1"/>
    <xf numFmtId="49" fontId="0" fillId="0" borderId="8" xfId="0" applyNumberFormat="1" applyBorder="1"/>
    <xf numFmtId="49" fontId="0" fillId="0" borderId="14" xfId="0" applyNumberFormat="1" applyBorder="1"/>
    <xf numFmtId="0" fontId="0" fillId="0" borderId="16" xfId="0" applyBorder="1"/>
    <xf numFmtId="0" fontId="12" fillId="5" borderId="0" xfId="1" applyFont="1" applyFill="1"/>
    <xf numFmtId="2" fontId="12" fillId="5" borderId="0" xfId="1" applyNumberFormat="1" applyFont="1" applyFill="1" applyAlignment="1">
      <alignment horizontal="center"/>
    </xf>
    <xf numFmtId="166" fontId="12" fillId="5" borderId="0" xfId="0" applyNumberFormat="1" applyFont="1" applyFill="1" applyAlignment="1">
      <alignment horizontal="center"/>
    </xf>
    <xf numFmtId="2" fontId="12" fillId="5" borderId="23" xfId="1" applyNumberFormat="1" applyFont="1" applyFill="1" applyBorder="1" applyAlignment="1">
      <alignment horizontal="center"/>
    </xf>
    <xf numFmtId="3" fontId="12" fillId="5" borderId="21" xfId="1" applyNumberFormat="1" applyFont="1" applyFill="1" applyBorder="1" applyAlignment="1">
      <alignment horizontal="center"/>
    </xf>
    <xf numFmtId="164" fontId="12" fillId="5" borderId="17" xfId="1" applyNumberFormat="1" applyFont="1" applyFill="1" applyBorder="1" applyAlignment="1">
      <alignment horizontal="center"/>
    </xf>
    <xf numFmtId="1" fontId="12" fillId="5" borderId="22" xfId="1" applyNumberFormat="1" applyFont="1" applyFill="1" applyBorder="1" applyAlignment="1">
      <alignment horizontal="center"/>
    </xf>
    <xf numFmtId="2" fontId="12" fillId="5" borderId="56" xfId="1" applyNumberFormat="1" applyFont="1" applyFill="1" applyBorder="1" applyAlignment="1">
      <alignment horizontal="center"/>
    </xf>
    <xf numFmtId="2" fontId="12" fillId="5" borderId="22" xfId="1" applyNumberFormat="1" applyFont="1" applyFill="1" applyBorder="1" applyAlignment="1">
      <alignment horizontal="center"/>
    </xf>
    <xf numFmtId="165" fontId="12" fillId="5" borderId="11" xfId="1" applyNumberFormat="1" applyFont="1" applyFill="1" applyBorder="1" applyAlignment="1">
      <alignment horizontal="center"/>
    </xf>
    <xf numFmtId="2" fontId="12" fillId="5" borderId="19" xfId="1" applyNumberFormat="1" applyFont="1" applyFill="1" applyBorder="1" applyAlignment="1">
      <alignment horizontal="center"/>
    </xf>
    <xf numFmtId="2" fontId="12" fillId="5" borderId="61" xfId="1" applyNumberFormat="1" applyFont="1" applyFill="1" applyBorder="1" applyAlignment="1">
      <alignment horizontal="center"/>
    </xf>
    <xf numFmtId="3" fontId="12" fillId="5" borderId="8" xfId="1" applyNumberFormat="1" applyFont="1" applyFill="1" applyBorder="1" applyAlignment="1">
      <alignment horizontal="center"/>
    </xf>
    <xf numFmtId="164" fontId="12" fillId="5" borderId="18" xfId="1" applyNumberFormat="1" applyFont="1" applyFill="1" applyBorder="1" applyAlignment="1">
      <alignment horizontal="center"/>
    </xf>
    <xf numFmtId="2" fontId="12" fillId="5" borderId="18" xfId="1" applyNumberFormat="1" applyFont="1" applyFill="1" applyBorder="1" applyAlignment="1">
      <alignment horizontal="center"/>
    </xf>
    <xf numFmtId="1" fontId="12" fillId="5" borderId="9" xfId="1" applyNumberFormat="1" applyFont="1" applyFill="1" applyBorder="1" applyAlignment="1">
      <alignment horizontal="center"/>
    </xf>
    <xf numFmtId="2" fontId="12" fillId="5" borderId="57" xfId="1" applyNumberFormat="1" applyFont="1" applyFill="1" applyBorder="1" applyAlignment="1">
      <alignment horizontal="center"/>
    </xf>
    <xf numFmtId="2" fontId="12" fillId="5" borderId="9" xfId="1" applyNumberFormat="1" applyFon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" fillId="0" borderId="0" xfId="0" applyFont="1"/>
    <xf numFmtId="0" fontId="30" fillId="0" borderId="0" xfId="0" applyFont="1"/>
    <xf numFmtId="0" fontId="31" fillId="0" borderId="0" xfId="0" applyFont="1"/>
    <xf numFmtId="0" fontId="31" fillId="3" borderId="0" xfId="0" applyFont="1" applyFill="1"/>
    <xf numFmtId="0" fontId="10" fillId="0" borderId="33" xfId="1" applyFont="1" applyBorder="1" applyAlignment="1">
      <alignment horizontal="center" vertical="center" wrapText="1"/>
    </xf>
    <xf numFmtId="0" fontId="3" fillId="0" borderId="33" xfId="1" applyBorder="1" applyAlignment="1">
      <alignment horizontal="center" vertical="center" wrapText="1"/>
    </xf>
    <xf numFmtId="0" fontId="11" fillId="0" borderId="33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14" fillId="5" borderId="40" xfId="1" applyFont="1" applyFill="1" applyBorder="1" applyAlignment="1">
      <alignment horizontal="center" wrapText="1"/>
    </xf>
    <xf numFmtId="0" fontId="23" fillId="5" borderId="0" xfId="0" applyFont="1" applyFill="1" applyAlignment="1">
      <alignment horizontal="center" wrapText="1"/>
    </xf>
    <xf numFmtId="0" fontId="23" fillId="5" borderId="20" xfId="0" applyFont="1" applyFill="1" applyBorder="1" applyAlignment="1">
      <alignment horizontal="center" wrapText="1"/>
    </xf>
    <xf numFmtId="0" fontId="12" fillId="3" borderId="21" xfId="1" applyFont="1" applyFill="1" applyBorder="1" applyAlignment="1">
      <alignment horizontal="center" wrapText="1"/>
    </xf>
    <xf numFmtId="0" fontId="3" fillId="3" borderId="17" xfId="1" applyFill="1" applyBorder="1" applyAlignment="1">
      <alignment horizontal="center" wrapText="1"/>
    </xf>
    <xf numFmtId="0" fontId="6" fillId="0" borderId="14" xfId="1" applyFont="1" applyBorder="1" applyAlignment="1">
      <alignment horizontal="center" wrapText="1"/>
    </xf>
    <xf numFmtId="0" fontId="20" fillId="0" borderId="15" xfId="1" applyFont="1" applyBorder="1" applyAlignment="1">
      <alignment wrapText="1"/>
    </xf>
    <xf numFmtId="0" fontId="6" fillId="3" borderId="41" xfId="1" applyFont="1" applyFill="1" applyBorder="1" applyAlignment="1">
      <alignment horizontal="left" vertical="center"/>
    </xf>
    <xf numFmtId="0" fontId="12" fillId="3" borderId="42" xfId="1" applyFont="1" applyFill="1" applyBorder="1" applyAlignment="1">
      <alignment horizontal="left"/>
    </xf>
    <xf numFmtId="0" fontId="12" fillId="0" borderId="34" xfId="1" applyFont="1" applyBorder="1" applyAlignment="1">
      <alignment horizontal="center" wrapText="1"/>
    </xf>
    <xf numFmtId="0" fontId="12" fillId="0" borderId="10" xfId="1" applyFont="1" applyBorder="1" applyAlignment="1">
      <alignment horizontal="center" wrapText="1"/>
    </xf>
    <xf numFmtId="0" fontId="12" fillId="0" borderId="21" xfId="1" applyFont="1" applyBorder="1" applyAlignment="1">
      <alignment horizontal="center"/>
    </xf>
    <xf numFmtId="0" fontId="12" fillId="0" borderId="22" xfId="1" applyFont="1" applyBorder="1" applyAlignment="1">
      <alignment horizontal="center"/>
    </xf>
    <xf numFmtId="0" fontId="6" fillId="0" borderId="31" xfId="1" applyFont="1" applyBorder="1" applyAlignment="1">
      <alignment horizontal="center" vertical="center"/>
    </xf>
    <xf numFmtId="0" fontId="12" fillId="0" borderId="31" xfId="1" applyFont="1" applyBorder="1"/>
    <xf numFmtId="0" fontId="12" fillId="0" borderId="32" xfId="1" applyFont="1" applyBorder="1"/>
    <xf numFmtId="0" fontId="12" fillId="0" borderId="2" xfId="2" applyFont="1" applyBorder="1" applyAlignment="1">
      <alignment horizontal="left" vertical="center" wrapText="1"/>
    </xf>
    <xf numFmtId="0" fontId="0" fillId="0" borderId="29" xfId="0" applyBorder="1" applyAlignment="1">
      <alignment wrapText="1"/>
    </xf>
    <xf numFmtId="0" fontId="13" fillId="0" borderId="12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0" fontId="25" fillId="0" borderId="2" xfId="1" applyFont="1" applyBorder="1" applyAlignment="1">
      <alignment horizontal="left" vertical="center" wrapText="1"/>
    </xf>
    <xf numFmtId="0" fontId="26" fillId="0" borderId="0" xfId="1" applyFont="1" applyAlignment="1">
      <alignment vertical="center" wrapText="1"/>
    </xf>
    <xf numFmtId="0" fontId="27" fillId="0" borderId="2" xfId="1" applyFont="1" applyBorder="1" applyAlignment="1">
      <alignment horizontal="left" wrapText="1"/>
    </xf>
    <xf numFmtId="0" fontId="26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12" fillId="0" borderId="2" xfId="1" applyFont="1" applyBorder="1" applyAlignment="1">
      <alignment horizontal="center" vertical="center" wrapText="1"/>
    </xf>
    <xf numFmtId="0" fontId="3" fillId="0" borderId="0" xfId="1" applyAlignment="1">
      <alignment wrapText="1"/>
    </xf>
    <xf numFmtId="0" fontId="17" fillId="0" borderId="50" xfId="0" applyFont="1" applyBorder="1" applyAlignment="1">
      <alignment horizontal="center" wrapText="1"/>
    </xf>
    <xf numFmtId="0" fontId="0" fillId="0" borderId="51" xfId="0" applyBorder="1" applyAlignment="1">
      <alignment wrapText="1"/>
    </xf>
    <xf numFmtId="0" fontId="12" fillId="0" borderId="62" xfId="1" applyFont="1" applyBorder="1" applyAlignment="1">
      <alignment horizontal="center" vertical="center" wrapText="1"/>
    </xf>
    <xf numFmtId="0" fontId="0" fillId="0" borderId="65" xfId="0" applyBorder="1" applyAlignment="1">
      <alignment wrapText="1"/>
    </xf>
    <xf numFmtId="0" fontId="0" fillId="0" borderId="66" xfId="0" applyBorder="1" applyAlignment="1">
      <alignment wrapText="1"/>
    </xf>
    <xf numFmtId="0" fontId="12" fillId="0" borderId="29" xfId="2" applyFont="1" applyBorder="1" applyAlignment="1">
      <alignment horizontal="left" vertical="center" wrapText="1"/>
    </xf>
    <xf numFmtId="0" fontId="17" fillId="0" borderId="51" xfId="0" applyFont="1" applyBorder="1" applyAlignment="1">
      <alignment horizontal="center" wrapText="1"/>
    </xf>
    <xf numFmtId="0" fontId="12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12" fillId="0" borderId="18" xfId="0" applyFont="1" applyBorder="1" applyAlignment="1">
      <alignment horizontal="center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371475</xdr:colOff>
          <xdr:row>0</xdr:row>
          <xdr:rowOff>104775</xdr:rowOff>
        </xdr:from>
        <xdr:to>
          <xdr:col>10</xdr:col>
          <xdr:colOff>933450</xdr:colOff>
          <xdr:row>1</xdr:row>
          <xdr:rowOff>247650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371475</xdr:colOff>
          <xdr:row>0</xdr:row>
          <xdr:rowOff>104775</xdr:rowOff>
        </xdr:from>
        <xdr:to>
          <xdr:col>10</xdr:col>
          <xdr:colOff>933450</xdr:colOff>
          <xdr:row>1</xdr:row>
          <xdr:rowOff>247650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371475</xdr:colOff>
          <xdr:row>0</xdr:row>
          <xdr:rowOff>104775</xdr:rowOff>
        </xdr:from>
        <xdr:to>
          <xdr:col>10</xdr:col>
          <xdr:colOff>933450</xdr:colOff>
          <xdr:row>1</xdr:row>
          <xdr:rowOff>247650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371475</xdr:colOff>
          <xdr:row>0</xdr:row>
          <xdr:rowOff>104775</xdr:rowOff>
        </xdr:from>
        <xdr:to>
          <xdr:col>10</xdr:col>
          <xdr:colOff>933450</xdr:colOff>
          <xdr:row>1</xdr:row>
          <xdr:rowOff>247650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371475</xdr:colOff>
          <xdr:row>0</xdr:row>
          <xdr:rowOff>104775</xdr:rowOff>
        </xdr:from>
        <xdr:to>
          <xdr:col>10</xdr:col>
          <xdr:colOff>933450</xdr:colOff>
          <xdr:row>1</xdr:row>
          <xdr:rowOff>247650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371475</xdr:colOff>
          <xdr:row>0</xdr:row>
          <xdr:rowOff>104775</xdr:rowOff>
        </xdr:from>
        <xdr:to>
          <xdr:col>10</xdr:col>
          <xdr:colOff>933450</xdr:colOff>
          <xdr:row>1</xdr:row>
          <xdr:rowOff>247650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371475</xdr:colOff>
          <xdr:row>0</xdr:row>
          <xdr:rowOff>104775</xdr:rowOff>
        </xdr:from>
        <xdr:to>
          <xdr:col>10</xdr:col>
          <xdr:colOff>933450</xdr:colOff>
          <xdr:row>1</xdr:row>
          <xdr:rowOff>247650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1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image" Target="../media/image1.emf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5"/>
  <sheetViews>
    <sheetView tabSelected="1" workbookViewId="0">
      <selection activeCell="H22" sqref="H22"/>
    </sheetView>
  </sheetViews>
  <sheetFormatPr baseColWidth="10" defaultRowHeight="15.75" x14ac:dyDescent="0.25"/>
  <cols>
    <col min="1" max="1" width="26.42578125" customWidth="1"/>
    <col min="2" max="2" width="17" bestFit="1" customWidth="1"/>
    <col min="4" max="4" width="8.5703125" bestFit="1" customWidth="1"/>
    <col min="5" max="5" width="10.85546875" bestFit="1" customWidth="1"/>
    <col min="6" max="6" width="17" bestFit="1" customWidth="1"/>
    <col min="7" max="8" width="14.5703125" customWidth="1"/>
    <col min="9" max="9" width="12" customWidth="1"/>
    <col min="10" max="10" width="12.5703125" customWidth="1"/>
    <col min="11" max="11" width="15.7109375" customWidth="1"/>
    <col min="12" max="12" width="2.85546875" customWidth="1"/>
    <col min="13" max="14" width="11.42578125" hidden="1" customWidth="1"/>
    <col min="15" max="16" width="9.5703125" hidden="1" customWidth="1"/>
    <col min="17" max="19" width="2" hidden="1" customWidth="1"/>
    <col min="20" max="20" width="8.7109375" customWidth="1"/>
    <col min="21" max="21" width="10.7109375" customWidth="1"/>
    <col min="22" max="23" width="2.85546875" customWidth="1"/>
    <col min="24" max="24" width="43.5703125" style="106" customWidth="1"/>
  </cols>
  <sheetData>
    <row r="1" spans="1:25" ht="26.25" customHeight="1" thickBot="1" x14ac:dyDescent="0.3">
      <c r="A1" s="231" t="s">
        <v>62</v>
      </c>
      <c r="B1" s="232"/>
      <c r="C1" s="232"/>
      <c r="D1" s="233"/>
      <c r="E1" s="234"/>
      <c r="F1" s="234"/>
      <c r="G1" s="234"/>
      <c r="H1" s="27">
        <v>1.1000000000000001</v>
      </c>
      <c r="I1" s="4"/>
      <c r="J1" s="3"/>
      <c r="K1" s="3"/>
      <c r="L1" s="3"/>
      <c r="M1" s="29"/>
      <c r="X1" s="106" t="s">
        <v>28</v>
      </c>
      <c r="Y1" t="s">
        <v>50</v>
      </c>
    </row>
    <row r="2" spans="1:25" ht="27" thickBot="1" x14ac:dyDescent="0.45">
      <c r="A2" s="10" t="s">
        <v>0</v>
      </c>
      <c r="B2" s="235" t="s">
        <v>25</v>
      </c>
      <c r="C2" s="236"/>
      <c r="D2" s="236"/>
      <c r="E2" s="236"/>
      <c r="F2" s="236"/>
      <c r="G2" s="237"/>
      <c r="H2" s="58"/>
      <c r="I2" s="59"/>
      <c r="J2" s="3"/>
      <c r="K2" s="3"/>
      <c r="L2" s="3"/>
      <c r="M2" s="4"/>
      <c r="N2" s="4"/>
      <c r="O2" s="4"/>
      <c r="P2" s="30"/>
      <c r="Q2" s="31"/>
      <c r="R2" s="6"/>
      <c r="S2" s="4"/>
      <c r="T2" s="4"/>
      <c r="U2" s="4"/>
      <c r="X2" s="106" t="s">
        <v>42</v>
      </c>
      <c r="Y2" t="s">
        <v>54</v>
      </c>
    </row>
    <row r="3" spans="1:25" ht="16.5" customHeight="1" thickBot="1" x14ac:dyDescent="0.3">
      <c r="A3" s="73" t="s">
        <v>63</v>
      </c>
      <c r="B3" s="74">
        <v>60000</v>
      </c>
      <c r="C3" s="70" t="s">
        <v>68</v>
      </c>
      <c r="D3" s="238" t="s">
        <v>39</v>
      </c>
      <c r="E3" s="239"/>
      <c r="F3" s="168">
        <f>E48</f>
        <v>1</v>
      </c>
      <c r="G3" s="76" t="s">
        <v>65</v>
      </c>
      <c r="H3" s="143" t="s">
        <v>67</v>
      </c>
      <c r="I3" s="93"/>
      <c r="J3" s="94"/>
      <c r="K3" s="110"/>
      <c r="L3" s="7"/>
      <c r="M3" s="32"/>
      <c r="N3" s="32"/>
      <c r="O3" s="33"/>
      <c r="P3" s="7"/>
      <c r="Q3" s="7"/>
      <c r="R3" s="7"/>
      <c r="S3" s="7"/>
      <c r="T3" s="7"/>
      <c r="U3" s="7"/>
      <c r="X3" s="106" t="s">
        <v>29</v>
      </c>
      <c r="Y3" t="s">
        <v>51</v>
      </c>
    </row>
    <row r="4" spans="1:25" ht="16.5" customHeight="1" thickBot="1" x14ac:dyDescent="0.3">
      <c r="A4" s="73" t="s">
        <v>64</v>
      </c>
      <c r="B4" s="75">
        <v>15000</v>
      </c>
      <c r="C4" s="71" t="s">
        <v>68</v>
      </c>
      <c r="D4" s="240" t="s">
        <v>66</v>
      </c>
      <c r="E4" s="241"/>
      <c r="F4" s="63">
        <f>F48</f>
        <v>6</v>
      </c>
      <c r="G4" s="71" t="s">
        <v>3</v>
      </c>
      <c r="H4" s="163">
        <f>I48</f>
        <v>1</v>
      </c>
      <c r="I4" s="144"/>
      <c r="J4" s="145"/>
      <c r="K4" s="7"/>
      <c r="L4" s="7"/>
      <c r="M4" s="32"/>
      <c r="N4" s="32"/>
      <c r="O4" s="33"/>
      <c r="P4" s="7"/>
      <c r="Q4" s="7"/>
      <c r="R4" s="7"/>
      <c r="S4" s="7"/>
      <c r="T4" s="7"/>
      <c r="U4" s="7"/>
      <c r="X4" s="106" t="s">
        <v>30</v>
      </c>
      <c r="Y4" t="s">
        <v>52</v>
      </c>
    </row>
    <row r="5" spans="1:25" s="92" customFormat="1" ht="18" customHeight="1" thickBot="1" x14ac:dyDescent="0.3">
      <c r="A5" s="82"/>
      <c r="B5" s="83"/>
      <c r="C5" s="84"/>
      <c r="D5" s="85"/>
      <c r="E5" s="86"/>
      <c r="F5" s="87"/>
      <c r="G5" s="84"/>
      <c r="H5" s="88"/>
      <c r="I5" s="89"/>
      <c r="J5" s="90"/>
      <c r="K5" s="91"/>
      <c r="L5" s="91"/>
      <c r="M5" s="33"/>
      <c r="N5" s="33"/>
      <c r="O5" s="33"/>
      <c r="P5" s="91"/>
      <c r="Q5" s="91"/>
      <c r="R5" s="91"/>
      <c r="S5" s="91"/>
      <c r="T5" s="91"/>
      <c r="U5" s="91"/>
      <c r="X5" s="107" t="s">
        <v>31</v>
      </c>
      <c r="Y5" s="92" t="s">
        <v>53</v>
      </c>
    </row>
    <row r="6" spans="1:25" ht="16.5" customHeight="1" thickBot="1" x14ac:dyDescent="0.3">
      <c r="A6" s="72" t="s">
        <v>69</v>
      </c>
      <c r="B6" s="77" t="s">
        <v>4</v>
      </c>
      <c r="C6" s="78">
        <f>C48</f>
        <v>150</v>
      </c>
      <c r="D6" s="242" t="s">
        <v>5</v>
      </c>
      <c r="E6" s="243"/>
      <c r="F6" s="77" t="s">
        <v>6</v>
      </c>
      <c r="G6" s="78">
        <f>D48</f>
        <v>200</v>
      </c>
      <c r="H6" s="242" t="s">
        <v>5</v>
      </c>
      <c r="I6" s="243"/>
      <c r="J6" s="133" t="s">
        <v>73</v>
      </c>
      <c r="K6" s="244" t="s">
        <v>75</v>
      </c>
      <c r="L6" s="161"/>
      <c r="M6" s="7"/>
      <c r="N6" s="32"/>
      <c r="O6" s="33"/>
      <c r="P6" s="7"/>
      <c r="Q6" s="7"/>
      <c r="R6" s="7"/>
      <c r="S6" s="7"/>
      <c r="T6" s="246" t="s">
        <v>76</v>
      </c>
      <c r="U6" s="247"/>
    </row>
    <row r="7" spans="1:25" ht="16.5" thickBot="1" x14ac:dyDescent="0.3">
      <c r="A7" s="111" t="s">
        <v>70</v>
      </c>
      <c r="B7" s="11" t="s">
        <v>71</v>
      </c>
      <c r="C7" s="248" t="s">
        <v>72</v>
      </c>
      <c r="D7" s="249"/>
      <c r="E7" s="250"/>
      <c r="F7" s="11" t="s">
        <v>71</v>
      </c>
      <c r="G7" s="248" t="s">
        <v>72</v>
      </c>
      <c r="H7" s="249"/>
      <c r="I7" s="250"/>
      <c r="J7" s="134" t="s">
        <v>74</v>
      </c>
      <c r="K7" s="245"/>
      <c r="L7" s="42"/>
      <c r="M7" s="7"/>
      <c r="N7" s="26"/>
      <c r="O7" s="33"/>
      <c r="P7" s="7"/>
      <c r="Q7" s="7"/>
      <c r="R7" s="7"/>
      <c r="S7" s="7"/>
      <c r="T7" s="22" t="s">
        <v>35</v>
      </c>
      <c r="U7" s="25" t="s">
        <v>39</v>
      </c>
    </row>
    <row r="8" spans="1:25" ht="16.5" thickBot="1" x14ac:dyDescent="0.3">
      <c r="A8" s="112" t="s">
        <v>3</v>
      </c>
      <c r="B8" s="13" t="s">
        <v>68</v>
      </c>
      <c r="C8" s="14" t="s">
        <v>13</v>
      </c>
      <c r="D8" s="14" t="s">
        <v>5</v>
      </c>
      <c r="E8" s="15" t="s">
        <v>8</v>
      </c>
      <c r="F8" s="13" t="s">
        <v>68</v>
      </c>
      <c r="G8" s="14" t="s">
        <v>13</v>
      </c>
      <c r="H8" s="14" t="s">
        <v>5</v>
      </c>
      <c r="I8" s="15" t="s">
        <v>8</v>
      </c>
      <c r="J8" s="118" t="s">
        <v>3</v>
      </c>
      <c r="K8" s="12" t="s">
        <v>3</v>
      </c>
      <c r="L8" s="43"/>
      <c r="M8" s="7"/>
      <c r="N8" s="37"/>
      <c r="O8" s="33"/>
      <c r="P8" s="34"/>
      <c r="Q8" s="7"/>
      <c r="R8" s="7"/>
      <c r="S8" s="7"/>
      <c r="T8" s="165" t="s">
        <v>3</v>
      </c>
      <c r="U8" s="166" t="s">
        <v>5</v>
      </c>
    </row>
    <row r="9" spans="1:25" ht="17.25" thickTop="1" thickBot="1" x14ac:dyDescent="0.3">
      <c r="A9" s="113" t="s">
        <v>70</v>
      </c>
      <c r="B9" s="46" t="s">
        <v>9</v>
      </c>
      <c r="C9" s="109" t="s">
        <v>10</v>
      </c>
      <c r="D9" s="253" t="s">
        <v>41</v>
      </c>
      <c r="E9" s="254"/>
      <c r="F9" s="46" t="s">
        <v>9</v>
      </c>
      <c r="G9" s="109" t="s">
        <v>10</v>
      </c>
      <c r="H9" s="255" t="s">
        <v>41</v>
      </c>
      <c r="I9" s="254"/>
      <c r="J9" s="119" t="s">
        <v>11</v>
      </c>
      <c r="K9" s="50" t="s">
        <v>12</v>
      </c>
      <c r="L9" s="51"/>
      <c r="M9" s="7"/>
      <c r="N9" s="38"/>
      <c r="O9" s="33"/>
      <c r="P9" s="34"/>
      <c r="Q9" s="7"/>
      <c r="R9" s="7"/>
      <c r="S9" s="7"/>
      <c r="T9" s="160" t="s">
        <v>38</v>
      </c>
      <c r="U9" s="160" t="s">
        <v>39</v>
      </c>
    </row>
    <row r="10" spans="1:25" ht="17.25" thickTop="1" thickBot="1" x14ac:dyDescent="0.3">
      <c r="A10" s="114" t="s">
        <v>3</v>
      </c>
      <c r="B10" s="52" t="s">
        <v>1</v>
      </c>
      <c r="C10" s="53" t="s">
        <v>13</v>
      </c>
      <c r="D10" s="54" t="s">
        <v>5</v>
      </c>
      <c r="E10" s="55" t="s">
        <v>8</v>
      </c>
      <c r="F10" s="52" t="s">
        <v>1</v>
      </c>
      <c r="G10" s="53" t="s">
        <v>13</v>
      </c>
      <c r="H10" s="54" t="s">
        <v>5</v>
      </c>
      <c r="I10" s="132" t="s">
        <v>8</v>
      </c>
      <c r="J10" s="120" t="s">
        <v>3</v>
      </c>
      <c r="K10" s="57" t="s">
        <v>3</v>
      </c>
      <c r="L10" s="56"/>
      <c r="M10" s="7"/>
      <c r="N10" s="38"/>
      <c r="O10" s="33"/>
      <c r="P10" s="34"/>
      <c r="Q10" s="7"/>
      <c r="R10" s="7"/>
      <c r="S10" s="7"/>
      <c r="T10" s="48" t="s">
        <v>3</v>
      </c>
      <c r="U10" s="49" t="s">
        <v>5</v>
      </c>
    </row>
    <row r="11" spans="1:25" x14ac:dyDescent="0.25">
      <c r="A11" s="139">
        <f>IF(0.2&lt;H$48,"NA",0.2)</f>
        <v>0.2</v>
      </c>
      <c r="B11" s="124">
        <f>IF((ROUND((IF($C$6*1000/(3.14*$A11)&gt;$B$3,$B$3,$C$6*1000/(3.14*$A11)))/1000,1)*1000)&lt;$B$4,$B$4,(ROUND((IF($C$6*1000/(3.14*$A11)&gt;$B$3,$B$3,$C$6*1000/(3.14*$A11)))/1000,1)*1000))</f>
        <v>60000</v>
      </c>
      <c r="C11" s="60">
        <f>P11</f>
        <v>2.2000000000000001E-3</v>
      </c>
      <c r="D11" s="79">
        <f>+B11*C11/1000</f>
        <v>0.13200000000000001</v>
      </c>
      <c r="E11" s="125">
        <f>+D11*1000/25.4</f>
        <v>5.1968503937007879</v>
      </c>
      <c r="F11" s="124">
        <f>ROUND(IF(IF(($G$6*1000/(3.14*$A11))&gt;$B$3,$B$3,($G$6*1000/(3.14*$A11)))&lt;$B$4,$B$4,IF(($G$6*1000/(3.14*$A11))&gt;$B$3,$B$3,($G$6*1000/(3.14*$A11))))/1000,1)*1000</f>
        <v>60000</v>
      </c>
      <c r="G11" s="60">
        <f>P11*$H$1</f>
        <v>2.4200000000000003E-3</v>
      </c>
      <c r="H11" s="79">
        <f>+F11*G11/1000</f>
        <v>0.14520000000000002</v>
      </c>
      <c r="I11" s="125">
        <f>+H11*1000/25.4</f>
        <v>5.7165354330708675</v>
      </c>
      <c r="J11" s="121">
        <f t="shared" ref="J11:J39" si="0">IF(A11*$G$48&gt;$F$48,$F$48,A11*$G$48)</f>
        <v>0.60000000000000009</v>
      </c>
      <c r="K11" s="100">
        <f t="shared" ref="K11:K39" si="1">IF((A11/2*1.08)&gt;1,1,(A11/2*1.08))</f>
        <v>0.10800000000000001</v>
      </c>
      <c r="L11" s="44"/>
      <c r="M11" s="7"/>
      <c r="N11" s="36"/>
      <c r="O11" s="99">
        <v>1E-3</v>
      </c>
      <c r="P11" s="99">
        <f t="shared" ref="P11:P39" si="2">IF(A11*(($F$3/100)+O11)&lt;0.001,0.001,(A11*(($F$3/100)+O11)))</f>
        <v>2.2000000000000001E-3</v>
      </c>
      <c r="Q11" s="7"/>
      <c r="R11" s="7"/>
      <c r="S11" s="7"/>
      <c r="T11" s="47">
        <f>A11-0.1</f>
        <v>0.1</v>
      </c>
      <c r="U11" s="162">
        <f>A11*0.03*B11/1000</f>
        <v>0.36</v>
      </c>
    </row>
    <row r="12" spans="1:25" ht="16.5" thickBot="1" x14ac:dyDescent="0.3">
      <c r="A12" s="138">
        <f>IF(0.3&lt;H$48,"NA",0.3)</f>
        <v>0.3</v>
      </c>
      <c r="B12" s="126">
        <f t="shared" ref="B12:B39" si="3">IF((ROUND((IF($C$6*1000/(3.14*$A12)&gt;$B$3,$B$3,$C$6*1000/(3.14*$A12)))/1000,1)*1000)&lt;$B$4,$B$4,(ROUND((IF($C$6*1000/(3.14*$A12)&gt;$B$3,$B$3,$C$6*1000/(3.14*$A12)))/1000,1)*1000))</f>
        <v>60000</v>
      </c>
      <c r="C12" s="101">
        <f t="shared" ref="C12:C39" si="4">P12</f>
        <v>3.3599999999999997E-3</v>
      </c>
      <c r="D12" s="102">
        <f t="shared" ref="D12:D39" si="5">+B12*C12/1000</f>
        <v>0.2016</v>
      </c>
      <c r="E12" s="127">
        <f t="shared" ref="E12:E39" si="6">+D12*1000/25.4</f>
        <v>7.9370078740157481</v>
      </c>
      <c r="F12" s="126">
        <f t="shared" ref="F12:F39" si="7">ROUND(IF(IF(($G$6*1000/(3.14*$A12))&gt;$B$3,$B$3,($G$6*1000/(3.14*$A12)))&lt;$B$4,$B$4,IF(($G$6*1000/(3.14*$A12))&gt;$B$3,$B$3,($G$6*1000/(3.14*$A12))))/1000,1)*1000</f>
        <v>60000</v>
      </c>
      <c r="G12" s="101">
        <f t="shared" ref="G12:G39" si="8">P12*$H$1</f>
        <v>3.6960000000000001E-3</v>
      </c>
      <c r="H12" s="102">
        <f t="shared" ref="H12:H39" si="9">+F12*G12/1000</f>
        <v>0.22175999999999998</v>
      </c>
      <c r="I12" s="127">
        <f t="shared" ref="I12:I39" si="10">+H12*1000/25.4</f>
        <v>8.7307086614173226</v>
      </c>
      <c r="J12" s="122">
        <f t="shared" si="0"/>
        <v>0.89999999999999991</v>
      </c>
      <c r="K12" s="103">
        <f t="shared" si="1"/>
        <v>0.16200000000000001</v>
      </c>
      <c r="L12" s="96"/>
      <c r="M12" s="7"/>
      <c r="N12" s="36"/>
      <c r="O12" s="99">
        <f>O11+0.0002</f>
        <v>1.2000000000000001E-3</v>
      </c>
      <c r="P12" s="99">
        <f t="shared" si="2"/>
        <v>3.3599999999999997E-3</v>
      </c>
      <c r="Q12" s="7"/>
      <c r="R12" s="7"/>
      <c r="S12" s="7"/>
      <c r="T12" s="159">
        <f t="shared" ref="T12:T15" si="11">A12-0.1</f>
        <v>0.19999999999999998</v>
      </c>
      <c r="U12" s="164">
        <f t="shared" ref="U12:U39" si="12">A12*0.03*B12/1000</f>
        <v>0.54</v>
      </c>
      <c r="X12" s="106" t="s">
        <v>49</v>
      </c>
      <c r="Y12" t="s">
        <v>46</v>
      </c>
    </row>
    <row r="13" spans="1:25" x14ac:dyDescent="0.25">
      <c r="A13" s="137">
        <f>IF(0.4&lt;H$48,"NA",0.4)</f>
        <v>0.4</v>
      </c>
      <c r="B13" s="128">
        <f t="shared" si="3"/>
        <v>60000</v>
      </c>
      <c r="C13" s="61">
        <f t="shared" si="4"/>
        <v>4.5600000000000007E-3</v>
      </c>
      <c r="D13" s="62">
        <f t="shared" si="5"/>
        <v>0.27360000000000001</v>
      </c>
      <c r="E13" s="16">
        <f t="shared" si="6"/>
        <v>10.771653543307089</v>
      </c>
      <c r="F13" s="128">
        <f t="shared" si="7"/>
        <v>60000</v>
      </c>
      <c r="G13" s="61">
        <f t="shared" si="8"/>
        <v>5.0160000000000014E-3</v>
      </c>
      <c r="H13" s="62">
        <f t="shared" si="9"/>
        <v>0.30096000000000012</v>
      </c>
      <c r="I13" s="16">
        <f t="shared" si="10"/>
        <v>11.8488188976378</v>
      </c>
      <c r="J13" s="123">
        <f t="shared" si="0"/>
        <v>1.2000000000000002</v>
      </c>
      <c r="K13" s="104">
        <f t="shared" si="1"/>
        <v>0.21600000000000003</v>
      </c>
      <c r="L13" s="44"/>
      <c r="M13" s="7"/>
      <c r="N13" s="36"/>
      <c r="O13" s="99">
        <f t="shared" ref="O13:O23" si="13">O12+0.0002</f>
        <v>1.4000000000000002E-3</v>
      </c>
      <c r="P13" s="99">
        <f t="shared" si="2"/>
        <v>4.5600000000000007E-3</v>
      </c>
      <c r="Q13" s="7"/>
      <c r="R13" s="7"/>
      <c r="S13" s="7"/>
      <c r="T13" s="47">
        <f t="shared" si="11"/>
        <v>0.30000000000000004</v>
      </c>
      <c r="U13" s="162">
        <f t="shared" si="12"/>
        <v>0.72</v>
      </c>
      <c r="X13" s="200" t="s">
        <v>40</v>
      </c>
      <c r="Y13" s="201">
        <v>1</v>
      </c>
    </row>
    <row r="14" spans="1:25" x14ac:dyDescent="0.25">
      <c r="A14" s="138">
        <f>IF(0.5&lt;H$48,"NA",0.5)</f>
        <v>0.5</v>
      </c>
      <c r="B14" s="126">
        <f t="shared" si="3"/>
        <v>60000</v>
      </c>
      <c r="C14" s="101">
        <f t="shared" si="4"/>
        <v>5.8000000000000005E-3</v>
      </c>
      <c r="D14" s="102">
        <f t="shared" si="5"/>
        <v>0.34799999999999998</v>
      </c>
      <c r="E14" s="127">
        <f t="shared" si="6"/>
        <v>13.700787401574804</v>
      </c>
      <c r="F14" s="126">
        <f t="shared" si="7"/>
        <v>60000</v>
      </c>
      <c r="G14" s="101">
        <f t="shared" si="8"/>
        <v>6.3800000000000011E-3</v>
      </c>
      <c r="H14" s="102">
        <f t="shared" si="9"/>
        <v>0.38280000000000008</v>
      </c>
      <c r="I14" s="127">
        <f t="shared" si="10"/>
        <v>15.070866141732287</v>
      </c>
      <c r="J14" s="122">
        <f t="shared" si="0"/>
        <v>1.5</v>
      </c>
      <c r="K14" s="103">
        <f t="shared" si="1"/>
        <v>0.27</v>
      </c>
      <c r="L14" s="96"/>
      <c r="M14" s="7"/>
      <c r="N14" s="36"/>
      <c r="O14" s="99">
        <f t="shared" si="13"/>
        <v>1.6000000000000003E-3</v>
      </c>
      <c r="P14" s="99">
        <f t="shared" si="2"/>
        <v>5.8000000000000005E-3</v>
      </c>
      <c r="Q14" s="7"/>
      <c r="R14" s="7"/>
      <c r="S14" s="7"/>
      <c r="T14" s="159">
        <f t="shared" si="11"/>
        <v>0.4</v>
      </c>
      <c r="U14" s="164">
        <f t="shared" si="12"/>
        <v>0.9</v>
      </c>
      <c r="X14" s="202" t="s">
        <v>36</v>
      </c>
      <c r="Y14" s="203">
        <v>2</v>
      </c>
    </row>
    <row r="15" spans="1:25" x14ac:dyDescent="0.25">
      <c r="A15" s="137">
        <f>IF(0.6&lt;H$48,"NA",0.6)</f>
        <v>0.6</v>
      </c>
      <c r="B15" s="128">
        <f t="shared" si="3"/>
        <v>60000</v>
      </c>
      <c r="C15" s="61">
        <f t="shared" si="4"/>
        <v>7.0800000000000004E-3</v>
      </c>
      <c r="D15" s="62">
        <f t="shared" si="5"/>
        <v>0.42480000000000001</v>
      </c>
      <c r="E15" s="16">
        <f t="shared" si="6"/>
        <v>16.7244094488189</v>
      </c>
      <c r="F15" s="128">
        <f t="shared" si="7"/>
        <v>60000</v>
      </c>
      <c r="G15" s="61">
        <f t="shared" si="8"/>
        <v>7.7880000000000007E-3</v>
      </c>
      <c r="H15" s="62">
        <f t="shared" si="9"/>
        <v>0.46728000000000003</v>
      </c>
      <c r="I15" s="16">
        <f t="shared" si="10"/>
        <v>18.396850393700788</v>
      </c>
      <c r="J15" s="123">
        <f t="shared" si="0"/>
        <v>1.7999999999999998</v>
      </c>
      <c r="K15" s="104">
        <f t="shared" si="1"/>
        <v>0.32400000000000001</v>
      </c>
      <c r="L15" s="44"/>
      <c r="M15" s="7"/>
      <c r="N15" s="36"/>
      <c r="O15" s="99">
        <f t="shared" si="13"/>
        <v>1.8000000000000004E-3</v>
      </c>
      <c r="P15" s="99">
        <f t="shared" si="2"/>
        <v>7.0800000000000004E-3</v>
      </c>
      <c r="Q15" s="7"/>
      <c r="R15" s="7"/>
      <c r="S15" s="7"/>
      <c r="T15" s="47">
        <f t="shared" si="11"/>
        <v>0.5</v>
      </c>
      <c r="U15" s="162">
        <f t="shared" si="12"/>
        <v>1.08</v>
      </c>
      <c r="X15" s="202" t="s">
        <v>37</v>
      </c>
      <c r="Y15" s="203">
        <v>3</v>
      </c>
    </row>
    <row r="16" spans="1:25" x14ac:dyDescent="0.25">
      <c r="A16" s="138">
        <f>IF(0.7&lt;H$48,"NA",0.7)</f>
        <v>0.7</v>
      </c>
      <c r="B16" s="126">
        <f t="shared" si="3"/>
        <v>60000</v>
      </c>
      <c r="C16" s="101">
        <f t="shared" si="4"/>
        <v>8.3999999999999995E-3</v>
      </c>
      <c r="D16" s="102">
        <f t="shared" si="5"/>
        <v>0.50399999999999989</v>
      </c>
      <c r="E16" s="127">
        <f t="shared" si="6"/>
        <v>19.842519685039367</v>
      </c>
      <c r="F16" s="126">
        <f t="shared" si="7"/>
        <v>60000</v>
      </c>
      <c r="G16" s="101">
        <f t="shared" si="8"/>
        <v>9.2399999999999999E-3</v>
      </c>
      <c r="H16" s="102">
        <f t="shared" si="9"/>
        <v>0.5544</v>
      </c>
      <c r="I16" s="127">
        <f t="shared" si="10"/>
        <v>21.826771653543307</v>
      </c>
      <c r="J16" s="122">
        <f t="shared" si="0"/>
        <v>2.0999999999999996</v>
      </c>
      <c r="K16" s="103">
        <f t="shared" si="1"/>
        <v>0.378</v>
      </c>
      <c r="L16" s="96"/>
      <c r="M16" s="7"/>
      <c r="N16" s="36"/>
      <c r="O16" s="99">
        <f t="shared" si="13"/>
        <v>2.0000000000000005E-3</v>
      </c>
      <c r="P16" s="99">
        <f t="shared" si="2"/>
        <v>8.3999999999999995E-3</v>
      </c>
      <c r="Q16" s="7"/>
      <c r="R16" s="7"/>
      <c r="S16" s="7"/>
      <c r="T16" s="159">
        <f>A16-0.2</f>
        <v>0.49999999999999994</v>
      </c>
      <c r="U16" s="164">
        <f t="shared" si="12"/>
        <v>1.2599999999999998</v>
      </c>
      <c r="X16" s="202" t="s">
        <v>21</v>
      </c>
      <c r="Y16" s="203">
        <v>4</v>
      </c>
    </row>
    <row r="17" spans="1:25" x14ac:dyDescent="0.25">
      <c r="A17" s="137">
        <f>IF(0.8&lt;H$48,"NA",0.8)</f>
        <v>0.8</v>
      </c>
      <c r="B17" s="128">
        <f t="shared" si="3"/>
        <v>59700</v>
      </c>
      <c r="C17" s="61">
        <f t="shared" si="4"/>
        <v>9.7600000000000013E-3</v>
      </c>
      <c r="D17" s="62">
        <f t="shared" si="5"/>
        <v>0.58267200000000008</v>
      </c>
      <c r="E17" s="16">
        <f t="shared" si="6"/>
        <v>22.93984251968504</v>
      </c>
      <c r="F17" s="128">
        <f t="shared" si="7"/>
        <v>60000</v>
      </c>
      <c r="G17" s="61">
        <f t="shared" si="8"/>
        <v>1.0736000000000002E-2</v>
      </c>
      <c r="H17" s="62">
        <f t="shared" si="9"/>
        <v>0.64416000000000018</v>
      </c>
      <c r="I17" s="16">
        <f t="shared" si="10"/>
        <v>25.36062992125985</v>
      </c>
      <c r="J17" s="123">
        <f t="shared" si="0"/>
        <v>2.4000000000000004</v>
      </c>
      <c r="K17" s="104">
        <f t="shared" si="1"/>
        <v>0.43200000000000005</v>
      </c>
      <c r="L17" s="44"/>
      <c r="M17" s="7"/>
      <c r="N17" s="36"/>
      <c r="O17" s="99">
        <f t="shared" si="13"/>
        <v>2.2000000000000006E-3</v>
      </c>
      <c r="P17" s="99">
        <f t="shared" si="2"/>
        <v>9.7600000000000013E-3</v>
      </c>
      <c r="Q17" s="7"/>
      <c r="R17" s="7"/>
      <c r="S17" s="7"/>
      <c r="T17" s="47">
        <f t="shared" ref="T17:T39" si="14">A17-0.2</f>
        <v>0.60000000000000009</v>
      </c>
      <c r="U17" s="162">
        <f t="shared" si="12"/>
        <v>1.4327999999999999</v>
      </c>
      <c r="X17" s="202" t="s">
        <v>22</v>
      </c>
      <c r="Y17" s="203">
        <v>5</v>
      </c>
    </row>
    <row r="18" spans="1:25" x14ac:dyDescent="0.25">
      <c r="A18" s="138">
        <f>IF(0.9&lt;H$48,"NA",0.9)</f>
        <v>0.9</v>
      </c>
      <c r="B18" s="126">
        <f t="shared" si="3"/>
        <v>53100</v>
      </c>
      <c r="C18" s="101">
        <f t="shared" si="4"/>
        <v>1.1160000000000002E-2</v>
      </c>
      <c r="D18" s="102">
        <f t="shared" si="5"/>
        <v>0.59259600000000012</v>
      </c>
      <c r="E18" s="127">
        <f t="shared" si="6"/>
        <v>23.330551181102368</v>
      </c>
      <c r="F18" s="126">
        <f t="shared" si="7"/>
        <v>60000</v>
      </c>
      <c r="G18" s="101">
        <f t="shared" si="8"/>
        <v>1.2276000000000002E-2</v>
      </c>
      <c r="H18" s="102">
        <f t="shared" si="9"/>
        <v>0.73656000000000021</v>
      </c>
      <c r="I18" s="127">
        <f t="shared" si="10"/>
        <v>28.998425196850402</v>
      </c>
      <c r="J18" s="122">
        <f t="shared" si="0"/>
        <v>2.7</v>
      </c>
      <c r="K18" s="103">
        <f t="shared" si="1"/>
        <v>0.48600000000000004</v>
      </c>
      <c r="L18" s="96"/>
      <c r="M18" s="7"/>
      <c r="N18" s="36"/>
      <c r="O18" s="99">
        <f t="shared" si="13"/>
        <v>2.4000000000000007E-3</v>
      </c>
      <c r="P18" s="99">
        <f t="shared" si="2"/>
        <v>1.1160000000000002E-2</v>
      </c>
      <c r="Q18" s="7"/>
      <c r="R18" s="7"/>
      <c r="S18" s="7"/>
      <c r="T18" s="159">
        <f t="shared" si="14"/>
        <v>0.7</v>
      </c>
      <c r="U18" s="164">
        <f t="shared" si="12"/>
        <v>1.4337</v>
      </c>
      <c r="X18" s="202" t="s">
        <v>23</v>
      </c>
      <c r="Y18" s="203">
        <v>6</v>
      </c>
    </row>
    <row r="19" spans="1:25" x14ac:dyDescent="0.25">
      <c r="A19" s="137">
        <f>IF(1&lt;H$48,"NA",1)</f>
        <v>1</v>
      </c>
      <c r="B19" s="128">
        <f t="shared" si="3"/>
        <v>47800</v>
      </c>
      <c r="C19" s="61">
        <f t="shared" si="4"/>
        <v>1.26E-2</v>
      </c>
      <c r="D19" s="62">
        <f t="shared" si="5"/>
        <v>0.60227999999999993</v>
      </c>
      <c r="E19" s="16">
        <f t="shared" si="6"/>
        <v>23.711811023622047</v>
      </c>
      <c r="F19" s="128">
        <f t="shared" si="7"/>
        <v>60000</v>
      </c>
      <c r="G19" s="61">
        <f t="shared" si="8"/>
        <v>1.3860000000000001E-2</v>
      </c>
      <c r="H19" s="62">
        <f t="shared" si="9"/>
        <v>0.83160000000000001</v>
      </c>
      <c r="I19" s="16">
        <f t="shared" si="10"/>
        <v>32.740157480314963</v>
      </c>
      <c r="J19" s="123">
        <f t="shared" si="0"/>
        <v>3</v>
      </c>
      <c r="K19" s="104">
        <f t="shared" si="1"/>
        <v>0.54</v>
      </c>
      <c r="L19" s="44"/>
      <c r="M19" s="7"/>
      <c r="N19" s="36"/>
      <c r="O19" s="99">
        <f t="shared" si="13"/>
        <v>2.6000000000000007E-3</v>
      </c>
      <c r="P19" s="99">
        <f t="shared" si="2"/>
        <v>1.26E-2</v>
      </c>
      <c r="Q19" s="7"/>
      <c r="R19" s="7"/>
      <c r="S19" s="7"/>
      <c r="T19" s="47">
        <f t="shared" si="14"/>
        <v>0.8</v>
      </c>
      <c r="U19" s="162">
        <f t="shared" si="12"/>
        <v>1.4339999999999999</v>
      </c>
      <c r="X19" s="204"/>
      <c r="Y19" s="203">
        <v>7</v>
      </c>
    </row>
    <row r="20" spans="1:25" x14ac:dyDescent="0.25">
      <c r="A20" s="138">
        <f>IF(1.1&lt;H$48,"NA",1.1)</f>
        <v>1.1000000000000001</v>
      </c>
      <c r="B20" s="126">
        <f t="shared" si="3"/>
        <v>43400</v>
      </c>
      <c r="C20" s="101">
        <f t="shared" si="4"/>
        <v>1.4080000000000002E-2</v>
      </c>
      <c r="D20" s="102">
        <f t="shared" si="5"/>
        <v>0.61107200000000017</v>
      </c>
      <c r="E20" s="127">
        <f t="shared" si="6"/>
        <v>24.057952755905518</v>
      </c>
      <c r="F20" s="126">
        <f t="shared" si="7"/>
        <v>57900</v>
      </c>
      <c r="G20" s="101">
        <f t="shared" si="8"/>
        <v>1.5488000000000004E-2</v>
      </c>
      <c r="H20" s="102">
        <f t="shared" si="9"/>
        <v>0.8967552000000002</v>
      </c>
      <c r="I20" s="127">
        <f t="shared" si="10"/>
        <v>35.305322834645679</v>
      </c>
      <c r="J20" s="122">
        <f t="shared" si="0"/>
        <v>3.3000000000000003</v>
      </c>
      <c r="K20" s="103">
        <f t="shared" si="1"/>
        <v>0.59400000000000008</v>
      </c>
      <c r="L20" s="96"/>
      <c r="M20" s="7"/>
      <c r="N20" s="36"/>
      <c r="O20" s="99">
        <f t="shared" si="13"/>
        <v>2.8000000000000008E-3</v>
      </c>
      <c r="P20" s="99">
        <f t="shared" si="2"/>
        <v>1.4080000000000002E-2</v>
      </c>
      <c r="Q20" s="7"/>
      <c r="R20" s="8"/>
      <c r="S20" s="7"/>
      <c r="T20" s="159">
        <f t="shared" si="14"/>
        <v>0.90000000000000013</v>
      </c>
      <c r="U20" s="164">
        <f t="shared" si="12"/>
        <v>1.4322000000000001</v>
      </c>
      <c r="X20" s="204"/>
      <c r="Y20" s="203">
        <v>8</v>
      </c>
    </row>
    <row r="21" spans="1:25" x14ac:dyDescent="0.25">
      <c r="A21" s="140">
        <f>IF(1.2&lt;H$48,"NA",1.2)</f>
        <v>1.2</v>
      </c>
      <c r="B21" s="128">
        <f t="shared" si="3"/>
        <v>39800</v>
      </c>
      <c r="C21" s="61">
        <f t="shared" si="4"/>
        <v>1.5600000000000001E-2</v>
      </c>
      <c r="D21" s="62">
        <f t="shared" si="5"/>
        <v>0.62087999999999999</v>
      </c>
      <c r="E21" s="16">
        <f t="shared" si="6"/>
        <v>24.444094488188977</v>
      </c>
      <c r="F21" s="128">
        <f t="shared" si="7"/>
        <v>53100</v>
      </c>
      <c r="G21" s="61">
        <f t="shared" si="8"/>
        <v>1.7160000000000002E-2</v>
      </c>
      <c r="H21" s="62">
        <f t="shared" si="9"/>
        <v>0.91119600000000012</v>
      </c>
      <c r="I21" s="16">
        <f t="shared" si="10"/>
        <v>35.873858267716543</v>
      </c>
      <c r="J21" s="123">
        <f t="shared" si="0"/>
        <v>3.5999999999999996</v>
      </c>
      <c r="K21" s="104">
        <f t="shared" si="1"/>
        <v>0.64800000000000002</v>
      </c>
      <c r="L21" s="44"/>
      <c r="M21" s="7"/>
      <c r="N21" s="36"/>
      <c r="O21" s="99">
        <f t="shared" si="13"/>
        <v>3.0000000000000009E-3</v>
      </c>
      <c r="P21" s="99">
        <f t="shared" si="2"/>
        <v>1.5600000000000001E-2</v>
      </c>
      <c r="Q21" s="7"/>
      <c r="R21" s="8"/>
      <c r="S21" s="7"/>
      <c r="T21" s="47">
        <f t="shared" si="14"/>
        <v>1</v>
      </c>
      <c r="U21" s="162">
        <f t="shared" si="12"/>
        <v>1.4327999999999999</v>
      </c>
      <c r="X21" s="205"/>
      <c r="Y21" s="203">
        <v>9</v>
      </c>
    </row>
    <row r="22" spans="1:25" x14ac:dyDescent="0.25">
      <c r="A22" s="138">
        <f>IF(1.3&lt;H$48,"NA",1.3)</f>
        <v>1.3</v>
      </c>
      <c r="B22" s="126">
        <f t="shared" si="3"/>
        <v>36700</v>
      </c>
      <c r="C22" s="101">
        <f t="shared" si="4"/>
        <v>1.7160000000000002E-2</v>
      </c>
      <c r="D22" s="102">
        <f t="shared" si="5"/>
        <v>0.629772</v>
      </c>
      <c r="E22" s="127">
        <f t="shared" si="6"/>
        <v>24.794173228346459</v>
      </c>
      <c r="F22" s="126">
        <f t="shared" si="7"/>
        <v>49000</v>
      </c>
      <c r="G22" s="101">
        <f t="shared" si="8"/>
        <v>1.8876000000000004E-2</v>
      </c>
      <c r="H22" s="102">
        <f t="shared" si="9"/>
        <v>0.92492400000000019</v>
      </c>
      <c r="I22" s="127">
        <f t="shared" si="10"/>
        <v>36.414330708661424</v>
      </c>
      <c r="J22" s="122">
        <f t="shared" si="0"/>
        <v>3.9000000000000004</v>
      </c>
      <c r="K22" s="103">
        <f t="shared" si="1"/>
        <v>0.70200000000000007</v>
      </c>
      <c r="L22" s="96"/>
      <c r="M22" s="7"/>
      <c r="N22" s="36"/>
      <c r="O22" s="99">
        <f t="shared" si="13"/>
        <v>3.200000000000001E-3</v>
      </c>
      <c r="P22" s="99">
        <f t="shared" si="2"/>
        <v>1.7160000000000002E-2</v>
      </c>
      <c r="Q22" s="7"/>
      <c r="R22" s="7"/>
      <c r="S22" s="7"/>
      <c r="T22" s="159">
        <f t="shared" si="14"/>
        <v>1.1000000000000001</v>
      </c>
      <c r="U22" s="164">
        <f t="shared" si="12"/>
        <v>1.4313</v>
      </c>
      <c r="X22" s="205"/>
      <c r="Y22" s="203">
        <v>10</v>
      </c>
    </row>
    <row r="23" spans="1:25" x14ac:dyDescent="0.25">
      <c r="A23" s="140">
        <f>IF(1.4&lt;H$48,"NA",1.4)</f>
        <v>1.4</v>
      </c>
      <c r="B23" s="128">
        <f t="shared" si="3"/>
        <v>34100</v>
      </c>
      <c r="C23" s="61">
        <f t="shared" si="4"/>
        <v>1.8760000000000002E-2</v>
      </c>
      <c r="D23" s="62">
        <f t="shared" si="5"/>
        <v>0.63971600000000017</v>
      </c>
      <c r="E23" s="16">
        <f t="shared" si="6"/>
        <v>25.185669291338588</v>
      </c>
      <c r="F23" s="128">
        <f t="shared" si="7"/>
        <v>45500</v>
      </c>
      <c r="G23" s="61">
        <f t="shared" si="8"/>
        <v>2.0636000000000005E-2</v>
      </c>
      <c r="H23" s="62">
        <f t="shared" si="9"/>
        <v>0.93893800000000016</v>
      </c>
      <c r="I23" s="16">
        <f t="shared" si="10"/>
        <v>36.966062992125998</v>
      </c>
      <c r="J23" s="123">
        <f t="shared" si="0"/>
        <v>4.1999999999999993</v>
      </c>
      <c r="K23" s="104">
        <f t="shared" si="1"/>
        <v>0.75600000000000001</v>
      </c>
      <c r="L23" s="44"/>
      <c r="M23" s="7"/>
      <c r="N23" s="36"/>
      <c r="O23" s="99">
        <f t="shared" si="13"/>
        <v>3.4000000000000011E-3</v>
      </c>
      <c r="P23" s="99">
        <f t="shared" si="2"/>
        <v>1.8760000000000002E-2</v>
      </c>
      <c r="Q23" s="7"/>
      <c r="R23" s="7"/>
      <c r="S23" s="7"/>
      <c r="T23" s="47">
        <f t="shared" si="14"/>
        <v>1.2</v>
      </c>
      <c r="U23" s="162">
        <f t="shared" si="12"/>
        <v>1.4321999999999999</v>
      </c>
      <c r="X23" s="205"/>
      <c r="Y23" s="203">
        <v>11</v>
      </c>
    </row>
    <row r="24" spans="1:25" x14ac:dyDescent="0.25">
      <c r="A24" s="138">
        <f>IF(1.5&lt;H$48,"NA",1.5)</f>
        <v>1.5</v>
      </c>
      <c r="B24" s="126">
        <f t="shared" si="3"/>
        <v>31800</v>
      </c>
      <c r="C24" s="101">
        <f t="shared" si="4"/>
        <v>2.0625000000000004E-2</v>
      </c>
      <c r="D24" s="102">
        <f t="shared" si="5"/>
        <v>0.6558750000000001</v>
      </c>
      <c r="E24" s="127">
        <f t="shared" si="6"/>
        <v>25.821850393700792</v>
      </c>
      <c r="F24" s="126">
        <f t="shared" si="7"/>
        <v>42500</v>
      </c>
      <c r="G24" s="101">
        <f t="shared" si="8"/>
        <v>2.2687500000000006E-2</v>
      </c>
      <c r="H24" s="102">
        <f t="shared" si="9"/>
        <v>0.96421875000000024</v>
      </c>
      <c r="I24" s="127">
        <f t="shared" si="10"/>
        <v>37.961368110236229</v>
      </c>
      <c r="J24" s="122">
        <f t="shared" si="0"/>
        <v>4.5</v>
      </c>
      <c r="K24" s="103">
        <f t="shared" si="1"/>
        <v>0.81</v>
      </c>
      <c r="L24" s="96"/>
      <c r="M24" s="7"/>
      <c r="N24" s="36"/>
      <c r="O24" s="99">
        <f>O23+0.00035</f>
        <v>3.7500000000000012E-3</v>
      </c>
      <c r="P24" s="99">
        <f t="shared" si="2"/>
        <v>2.0625000000000004E-2</v>
      </c>
      <c r="Q24" s="7"/>
      <c r="R24" s="7"/>
      <c r="S24" s="7"/>
      <c r="T24" s="159">
        <f t="shared" si="14"/>
        <v>1.3</v>
      </c>
      <c r="U24" s="164">
        <f t="shared" si="12"/>
        <v>1.431</v>
      </c>
      <c r="X24" s="205"/>
      <c r="Y24" s="203">
        <v>12</v>
      </c>
    </row>
    <row r="25" spans="1:25" ht="16.5" thickBot="1" x14ac:dyDescent="0.3">
      <c r="A25" s="116">
        <v>1.6</v>
      </c>
      <c r="B25" s="128">
        <f t="shared" si="3"/>
        <v>29900</v>
      </c>
      <c r="C25" s="61">
        <f t="shared" si="4"/>
        <v>2.2560000000000004E-2</v>
      </c>
      <c r="D25" s="62">
        <f t="shared" si="5"/>
        <v>0.67454400000000014</v>
      </c>
      <c r="E25" s="16">
        <f t="shared" si="6"/>
        <v>26.556850393700792</v>
      </c>
      <c r="F25" s="128">
        <f t="shared" si="7"/>
        <v>39800</v>
      </c>
      <c r="G25" s="61">
        <f t="shared" si="8"/>
        <v>2.4816000000000005E-2</v>
      </c>
      <c r="H25" s="62">
        <f t="shared" si="9"/>
        <v>0.98767680000000013</v>
      </c>
      <c r="I25" s="16">
        <f t="shared" si="10"/>
        <v>38.884913385826778</v>
      </c>
      <c r="J25" s="123">
        <f t="shared" si="0"/>
        <v>4.8000000000000007</v>
      </c>
      <c r="K25" s="104">
        <f t="shared" si="1"/>
        <v>0.8640000000000001</v>
      </c>
      <c r="L25" s="44"/>
      <c r="M25" s="7"/>
      <c r="N25" s="36"/>
      <c r="O25" s="99">
        <f t="shared" ref="O25:O39" si="15">O24+0.00035</f>
        <v>4.1000000000000012E-3</v>
      </c>
      <c r="P25" s="99">
        <f t="shared" si="2"/>
        <v>2.2560000000000004E-2</v>
      </c>
      <c r="Q25" s="7"/>
      <c r="R25" s="7"/>
      <c r="S25" s="7"/>
      <c r="T25" s="47">
        <f t="shared" si="14"/>
        <v>1.4000000000000001</v>
      </c>
      <c r="U25" s="162">
        <f t="shared" si="12"/>
        <v>1.4352</v>
      </c>
      <c r="X25" s="206"/>
      <c r="Y25" s="207">
        <v>13</v>
      </c>
    </row>
    <row r="26" spans="1:25" x14ac:dyDescent="0.25">
      <c r="A26" s="115">
        <v>1.7</v>
      </c>
      <c r="B26" s="126">
        <f t="shared" si="3"/>
        <v>28100</v>
      </c>
      <c r="C26" s="101">
        <f t="shared" si="4"/>
        <v>2.4565E-2</v>
      </c>
      <c r="D26" s="102">
        <f t="shared" si="5"/>
        <v>0.69027650000000007</v>
      </c>
      <c r="E26" s="127">
        <f t="shared" si="6"/>
        <v>27.176240157480319</v>
      </c>
      <c r="F26" s="126">
        <f t="shared" si="7"/>
        <v>37500</v>
      </c>
      <c r="G26" s="101">
        <f t="shared" si="8"/>
        <v>2.7021500000000004E-2</v>
      </c>
      <c r="H26" s="102">
        <f t="shared" si="9"/>
        <v>1.0133062500000001</v>
      </c>
      <c r="I26" s="127">
        <f t="shared" si="10"/>
        <v>39.893946850393704</v>
      </c>
      <c r="J26" s="122">
        <f t="shared" si="0"/>
        <v>5.0999999999999996</v>
      </c>
      <c r="K26" s="103">
        <f t="shared" si="1"/>
        <v>0.91800000000000004</v>
      </c>
      <c r="L26" s="96"/>
      <c r="M26" s="7"/>
      <c r="N26" s="36"/>
      <c r="O26" s="99">
        <f t="shared" si="15"/>
        <v>4.4500000000000008E-3</v>
      </c>
      <c r="P26" s="99">
        <f t="shared" si="2"/>
        <v>2.4565E-2</v>
      </c>
      <c r="Q26" s="7"/>
      <c r="R26" s="7"/>
      <c r="S26" s="7"/>
      <c r="T26" s="159">
        <f t="shared" si="14"/>
        <v>1.5</v>
      </c>
      <c r="U26" s="164">
        <f t="shared" si="12"/>
        <v>1.4330999999999998</v>
      </c>
    </row>
    <row r="27" spans="1:25" x14ac:dyDescent="0.25">
      <c r="A27" s="116">
        <v>1.8</v>
      </c>
      <c r="B27" s="128">
        <f t="shared" si="3"/>
        <v>26500</v>
      </c>
      <c r="C27" s="61">
        <f t="shared" si="4"/>
        <v>2.664E-2</v>
      </c>
      <c r="D27" s="62">
        <f t="shared" si="5"/>
        <v>0.70596000000000003</v>
      </c>
      <c r="E27" s="16">
        <f t="shared" si="6"/>
        <v>27.793700787401576</v>
      </c>
      <c r="F27" s="128">
        <f t="shared" si="7"/>
        <v>35400</v>
      </c>
      <c r="G27" s="61">
        <f t="shared" si="8"/>
        <v>2.9304000000000004E-2</v>
      </c>
      <c r="H27" s="62">
        <f t="shared" si="9"/>
        <v>1.0373616000000001</v>
      </c>
      <c r="I27" s="16">
        <f t="shared" si="10"/>
        <v>40.841007874015759</v>
      </c>
      <c r="J27" s="123">
        <f t="shared" si="0"/>
        <v>5.4</v>
      </c>
      <c r="K27" s="104">
        <f t="shared" si="1"/>
        <v>0.97200000000000009</v>
      </c>
      <c r="L27" s="44"/>
      <c r="M27" s="7"/>
      <c r="N27" s="36"/>
      <c r="O27" s="99">
        <f t="shared" si="15"/>
        <v>4.8000000000000004E-3</v>
      </c>
      <c r="P27" s="99">
        <f t="shared" si="2"/>
        <v>2.664E-2</v>
      </c>
      <c r="Q27" s="7"/>
      <c r="R27" s="7"/>
      <c r="S27" s="7"/>
      <c r="T27" s="47">
        <f t="shared" si="14"/>
        <v>1.6</v>
      </c>
      <c r="U27" s="162">
        <f t="shared" si="12"/>
        <v>1.431</v>
      </c>
    </row>
    <row r="28" spans="1:25" x14ac:dyDescent="0.25">
      <c r="A28" s="115">
        <v>1.9</v>
      </c>
      <c r="B28" s="126">
        <f t="shared" si="3"/>
        <v>25100</v>
      </c>
      <c r="C28" s="101">
        <f t="shared" si="4"/>
        <v>2.8784999999999998E-2</v>
      </c>
      <c r="D28" s="102">
        <f t="shared" si="5"/>
        <v>0.72250349999999997</v>
      </c>
      <c r="E28" s="127">
        <f t="shared" si="6"/>
        <v>28.44501968503937</v>
      </c>
      <c r="F28" s="126">
        <f t="shared" si="7"/>
        <v>33500</v>
      </c>
      <c r="G28" s="101">
        <f t="shared" si="8"/>
        <v>3.1663499999999997E-2</v>
      </c>
      <c r="H28" s="102">
        <f t="shared" si="9"/>
        <v>1.06072725</v>
      </c>
      <c r="I28" s="127">
        <f t="shared" si="10"/>
        <v>41.760915354330706</v>
      </c>
      <c r="J28" s="122">
        <f t="shared" si="0"/>
        <v>5.6999999999999993</v>
      </c>
      <c r="K28" s="103">
        <f t="shared" si="1"/>
        <v>1</v>
      </c>
      <c r="L28" s="96"/>
      <c r="M28" s="7"/>
      <c r="N28" s="36"/>
      <c r="O28" s="99">
        <f t="shared" si="15"/>
        <v>5.1500000000000001E-3</v>
      </c>
      <c r="P28" s="99">
        <f t="shared" si="2"/>
        <v>2.8784999999999998E-2</v>
      </c>
      <c r="Q28" s="7"/>
      <c r="R28" s="7"/>
      <c r="S28" s="7"/>
      <c r="T28" s="159">
        <f t="shared" si="14"/>
        <v>1.7</v>
      </c>
      <c r="U28" s="164">
        <f t="shared" si="12"/>
        <v>1.4306999999999999</v>
      </c>
    </row>
    <row r="29" spans="1:25" x14ac:dyDescent="0.25">
      <c r="A29" s="116">
        <v>2</v>
      </c>
      <c r="B29" s="128">
        <f t="shared" si="3"/>
        <v>23900</v>
      </c>
      <c r="C29" s="61">
        <f t="shared" si="4"/>
        <v>3.1E-2</v>
      </c>
      <c r="D29" s="62">
        <f t="shared" si="5"/>
        <v>0.7409</v>
      </c>
      <c r="E29" s="16">
        <f t="shared" si="6"/>
        <v>29.169291338582678</v>
      </c>
      <c r="F29" s="128">
        <f t="shared" si="7"/>
        <v>31800</v>
      </c>
      <c r="G29" s="61">
        <f t="shared" si="8"/>
        <v>3.4100000000000005E-2</v>
      </c>
      <c r="H29" s="62">
        <f t="shared" si="9"/>
        <v>1.0843800000000001</v>
      </c>
      <c r="I29" s="16">
        <f t="shared" si="10"/>
        <v>42.692125984251973</v>
      </c>
      <c r="J29" s="123">
        <f t="shared" si="0"/>
        <v>6</v>
      </c>
      <c r="K29" s="104">
        <f t="shared" si="1"/>
        <v>1</v>
      </c>
      <c r="L29" s="44"/>
      <c r="M29" s="7"/>
      <c r="N29" s="36"/>
      <c r="O29" s="99">
        <f t="shared" si="15"/>
        <v>5.4999999999999997E-3</v>
      </c>
      <c r="P29" s="99">
        <f t="shared" si="2"/>
        <v>3.1E-2</v>
      </c>
      <c r="Q29" s="7"/>
      <c r="R29" s="7"/>
      <c r="S29" s="7"/>
      <c r="T29" s="47">
        <f t="shared" si="14"/>
        <v>1.8</v>
      </c>
      <c r="U29" s="162">
        <f t="shared" si="12"/>
        <v>1.4339999999999999</v>
      </c>
      <c r="X29"/>
    </row>
    <row r="30" spans="1:25" x14ac:dyDescent="0.25">
      <c r="A30" s="115">
        <v>2.1</v>
      </c>
      <c r="B30" s="126">
        <f t="shared" si="3"/>
        <v>22700</v>
      </c>
      <c r="C30" s="101">
        <f t="shared" si="4"/>
        <v>3.3285000000000002E-2</v>
      </c>
      <c r="D30" s="102">
        <f t="shared" si="5"/>
        <v>0.75556950000000012</v>
      </c>
      <c r="E30" s="127">
        <f t="shared" si="6"/>
        <v>29.74683070866142</v>
      </c>
      <c r="F30" s="126">
        <f t="shared" si="7"/>
        <v>30300</v>
      </c>
      <c r="G30" s="101">
        <f t="shared" si="8"/>
        <v>3.6613500000000007E-2</v>
      </c>
      <c r="H30" s="102">
        <f t="shared" si="9"/>
        <v>1.1093890500000003</v>
      </c>
      <c r="I30" s="127">
        <f t="shared" si="10"/>
        <v>43.676734251968519</v>
      </c>
      <c r="J30" s="122">
        <f t="shared" si="0"/>
        <v>6</v>
      </c>
      <c r="K30" s="103">
        <f t="shared" si="1"/>
        <v>1</v>
      </c>
      <c r="L30" s="96"/>
      <c r="M30" s="7"/>
      <c r="N30" s="36"/>
      <c r="O30" s="99">
        <f t="shared" si="15"/>
        <v>5.8499999999999993E-3</v>
      </c>
      <c r="P30" s="99">
        <f t="shared" si="2"/>
        <v>3.3285000000000002E-2</v>
      </c>
      <c r="Q30" s="7"/>
      <c r="R30" s="7"/>
      <c r="S30" s="7"/>
      <c r="T30" s="159">
        <f t="shared" si="14"/>
        <v>1.9000000000000001</v>
      </c>
      <c r="U30" s="164">
        <f t="shared" si="12"/>
        <v>1.4300999999999999</v>
      </c>
      <c r="X30"/>
    </row>
    <row r="31" spans="1:25" x14ac:dyDescent="0.25">
      <c r="A31" s="116">
        <v>2.2000000000000002</v>
      </c>
      <c r="B31" s="128">
        <f t="shared" si="3"/>
        <v>21700</v>
      </c>
      <c r="C31" s="61">
        <f t="shared" si="4"/>
        <v>3.5639999999999998E-2</v>
      </c>
      <c r="D31" s="62">
        <f t="shared" si="5"/>
        <v>0.77338799999999996</v>
      </c>
      <c r="E31" s="16">
        <f t="shared" si="6"/>
        <v>30.448346456692914</v>
      </c>
      <c r="F31" s="128">
        <f t="shared" si="7"/>
        <v>29000</v>
      </c>
      <c r="G31" s="61">
        <f t="shared" si="8"/>
        <v>3.9204000000000003E-2</v>
      </c>
      <c r="H31" s="62">
        <f t="shared" si="9"/>
        <v>1.1369160000000003</v>
      </c>
      <c r="I31" s="16">
        <f t="shared" si="10"/>
        <v>44.760472440944888</v>
      </c>
      <c r="J31" s="123">
        <f t="shared" si="0"/>
        <v>6</v>
      </c>
      <c r="K31" s="104">
        <f t="shared" si="1"/>
        <v>1</v>
      </c>
      <c r="L31" s="44"/>
      <c r="M31" s="7"/>
      <c r="N31" s="36"/>
      <c r="O31" s="99">
        <f t="shared" si="15"/>
        <v>6.1999999999999989E-3</v>
      </c>
      <c r="P31" s="99">
        <f t="shared" si="2"/>
        <v>3.5639999999999998E-2</v>
      </c>
      <c r="Q31" s="7"/>
      <c r="R31" s="7"/>
      <c r="S31" s="7"/>
      <c r="T31" s="47">
        <f t="shared" si="14"/>
        <v>2</v>
      </c>
      <c r="U31" s="162">
        <f t="shared" si="12"/>
        <v>1.4322000000000001</v>
      </c>
      <c r="X31"/>
    </row>
    <row r="32" spans="1:25" x14ac:dyDescent="0.25">
      <c r="A32" s="115">
        <v>2.2999999999999998</v>
      </c>
      <c r="B32" s="126">
        <f t="shared" si="3"/>
        <v>20800</v>
      </c>
      <c r="C32" s="101">
        <f t="shared" si="4"/>
        <v>3.8064999999999995E-2</v>
      </c>
      <c r="D32" s="102">
        <f t="shared" si="5"/>
        <v>0.79175199999999979</v>
      </c>
      <c r="E32" s="127">
        <f t="shared" si="6"/>
        <v>31.171338582677162</v>
      </c>
      <c r="F32" s="126">
        <f t="shared" si="7"/>
        <v>27700</v>
      </c>
      <c r="G32" s="101">
        <f t="shared" si="8"/>
        <v>4.1871499999999999E-2</v>
      </c>
      <c r="H32" s="102">
        <f t="shared" si="9"/>
        <v>1.15984055</v>
      </c>
      <c r="I32" s="127">
        <f t="shared" si="10"/>
        <v>45.66301377952756</v>
      </c>
      <c r="J32" s="122">
        <f t="shared" si="0"/>
        <v>6</v>
      </c>
      <c r="K32" s="103">
        <f t="shared" si="1"/>
        <v>1</v>
      </c>
      <c r="L32" s="96"/>
      <c r="M32" s="7"/>
      <c r="N32" s="36"/>
      <c r="O32" s="99">
        <f t="shared" si="15"/>
        <v>6.5499999999999985E-3</v>
      </c>
      <c r="P32" s="99">
        <f t="shared" si="2"/>
        <v>3.8064999999999995E-2</v>
      </c>
      <c r="Q32" s="7"/>
      <c r="R32" s="7"/>
      <c r="S32" s="7"/>
      <c r="T32" s="159">
        <f t="shared" si="14"/>
        <v>2.0999999999999996</v>
      </c>
      <c r="U32" s="164">
        <f t="shared" si="12"/>
        <v>1.4351999999999998</v>
      </c>
      <c r="X32"/>
    </row>
    <row r="33" spans="1:24" x14ac:dyDescent="0.25">
      <c r="A33" s="116">
        <v>2.4</v>
      </c>
      <c r="B33" s="128">
        <f t="shared" si="3"/>
        <v>19900</v>
      </c>
      <c r="C33" s="61">
        <f t="shared" si="4"/>
        <v>4.0559999999999992E-2</v>
      </c>
      <c r="D33" s="62">
        <f t="shared" si="5"/>
        <v>0.80714399999999986</v>
      </c>
      <c r="E33" s="16">
        <f t="shared" si="6"/>
        <v>31.777322834645666</v>
      </c>
      <c r="F33" s="128">
        <f t="shared" si="7"/>
        <v>26500</v>
      </c>
      <c r="G33" s="61">
        <f t="shared" si="8"/>
        <v>4.4615999999999996E-2</v>
      </c>
      <c r="H33" s="62">
        <f t="shared" si="9"/>
        <v>1.1823239999999999</v>
      </c>
      <c r="I33" s="16">
        <f t="shared" si="10"/>
        <v>46.548188976377951</v>
      </c>
      <c r="J33" s="123">
        <f t="shared" si="0"/>
        <v>6</v>
      </c>
      <c r="K33" s="104">
        <f t="shared" si="1"/>
        <v>1</v>
      </c>
      <c r="L33" s="44"/>
      <c r="M33" s="7"/>
      <c r="N33" s="36"/>
      <c r="O33" s="99">
        <f t="shared" si="15"/>
        <v>6.8999999999999981E-3</v>
      </c>
      <c r="P33" s="99">
        <f t="shared" si="2"/>
        <v>4.0559999999999992E-2</v>
      </c>
      <c r="Q33" s="7"/>
      <c r="R33" s="7"/>
      <c r="S33" s="7"/>
      <c r="T33" s="47">
        <f t="shared" si="14"/>
        <v>2.1999999999999997</v>
      </c>
      <c r="U33" s="162">
        <f t="shared" si="12"/>
        <v>1.4327999999999999</v>
      </c>
    </row>
    <row r="34" spans="1:24" x14ac:dyDescent="0.25">
      <c r="A34" s="115">
        <v>2.5</v>
      </c>
      <c r="B34" s="126">
        <f t="shared" si="3"/>
        <v>19100</v>
      </c>
      <c r="C34" s="101">
        <f t="shared" si="4"/>
        <v>4.3124999999999997E-2</v>
      </c>
      <c r="D34" s="102">
        <f t="shared" si="5"/>
        <v>0.82368749999999991</v>
      </c>
      <c r="E34" s="127">
        <f t="shared" si="6"/>
        <v>32.428641732283459</v>
      </c>
      <c r="F34" s="126">
        <f t="shared" si="7"/>
        <v>25500</v>
      </c>
      <c r="G34" s="101">
        <f t="shared" si="8"/>
        <v>4.74375E-2</v>
      </c>
      <c r="H34" s="102">
        <f t="shared" si="9"/>
        <v>1.2096562500000001</v>
      </c>
      <c r="I34" s="127">
        <f t="shared" si="10"/>
        <v>47.624261811023622</v>
      </c>
      <c r="J34" s="122">
        <f t="shared" si="0"/>
        <v>6</v>
      </c>
      <c r="K34" s="103">
        <f t="shared" si="1"/>
        <v>1</v>
      </c>
      <c r="L34" s="96"/>
      <c r="M34" s="7"/>
      <c r="N34" s="36"/>
      <c r="O34" s="99">
        <f t="shared" si="15"/>
        <v>7.2499999999999978E-3</v>
      </c>
      <c r="P34" s="99">
        <f t="shared" si="2"/>
        <v>4.3124999999999997E-2</v>
      </c>
      <c r="Q34" s="7"/>
      <c r="R34" s="7"/>
      <c r="S34" s="7"/>
      <c r="T34" s="159">
        <f t="shared" si="14"/>
        <v>2.2999999999999998</v>
      </c>
      <c r="U34" s="164">
        <f t="shared" si="12"/>
        <v>1.4325000000000001</v>
      </c>
    </row>
    <row r="35" spans="1:24" x14ac:dyDescent="0.25">
      <c r="A35" s="116">
        <v>2.6</v>
      </c>
      <c r="B35" s="128">
        <f t="shared" si="3"/>
        <v>18400</v>
      </c>
      <c r="C35" s="61">
        <f t="shared" si="4"/>
        <v>4.5759999999999995E-2</v>
      </c>
      <c r="D35" s="62">
        <f t="shared" si="5"/>
        <v>0.84198399999999995</v>
      </c>
      <c r="E35" s="16">
        <f t="shared" si="6"/>
        <v>33.148976377952756</v>
      </c>
      <c r="F35" s="128">
        <f t="shared" si="7"/>
        <v>24500</v>
      </c>
      <c r="G35" s="61">
        <f t="shared" si="8"/>
        <v>5.0335999999999999E-2</v>
      </c>
      <c r="H35" s="62">
        <f t="shared" si="9"/>
        <v>1.2332319999999999</v>
      </c>
      <c r="I35" s="16">
        <f t="shared" si="10"/>
        <v>48.552440944881894</v>
      </c>
      <c r="J35" s="123">
        <f t="shared" si="0"/>
        <v>6</v>
      </c>
      <c r="K35" s="104">
        <f t="shared" si="1"/>
        <v>1</v>
      </c>
      <c r="L35" s="44"/>
      <c r="M35" s="7"/>
      <c r="N35" s="36"/>
      <c r="O35" s="99">
        <f t="shared" si="15"/>
        <v>7.5999999999999974E-3</v>
      </c>
      <c r="P35" s="99">
        <f t="shared" si="2"/>
        <v>4.5759999999999995E-2</v>
      </c>
      <c r="Q35" s="7"/>
      <c r="R35" s="7"/>
      <c r="S35" s="7"/>
      <c r="T35" s="47">
        <f t="shared" si="14"/>
        <v>2.4</v>
      </c>
      <c r="U35" s="162">
        <f t="shared" si="12"/>
        <v>1.4352</v>
      </c>
    </row>
    <row r="36" spans="1:24" x14ac:dyDescent="0.25">
      <c r="A36" s="115">
        <v>2.7</v>
      </c>
      <c r="B36" s="126">
        <f t="shared" si="3"/>
        <v>17700</v>
      </c>
      <c r="C36" s="101">
        <f t="shared" si="4"/>
        <v>4.8464999999999994E-2</v>
      </c>
      <c r="D36" s="102">
        <f t="shared" si="5"/>
        <v>0.85783049999999994</v>
      </c>
      <c r="E36" s="127">
        <f t="shared" si="6"/>
        <v>33.772854330708661</v>
      </c>
      <c r="F36" s="126">
        <f t="shared" si="7"/>
        <v>23600</v>
      </c>
      <c r="G36" s="101">
        <f t="shared" si="8"/>
        <v>5.3311499999999998E-2</v>
      </c>
      <c r="H36" s="102">
        <f t="shared" si="9"/>
        <v>1.2581514</v>
      </c>
      <c r="I36" s="127">
        <f t="shared" si="10"/>
        <v>49.533519685039373</v>
      </c>
      <c r="J36" s="122">
        <f t="shared" si="0"/>
        <v>6</v>
      </c>
      <c r="K36" s="103">
        <f t="shared" si="1"/>
        <v>1</v>
      </c>
      <c r="L36" s="96"/>
      <c r="M36" s="7"/>
      <c r="N36" s="36"/>
      <c r="O36" s="99">
        <f t="shared" si="15"/>
        <v>7.949999999999997E-3</v>
      </c>
      <c r="P36" s="99">
        <f t="shared" si="2"/>
        <v>4.8464999999999994E-2</v>
      </c>
      <c r="Q36" s="7"/>
      <c r="R36" s="7"/>
      <c r="S36" s="7"/>
      <c r="T36" s="159">
        <f t="shared" si="14"/>
        <v>2.5</v>
      </c>
      <c r="U36" s="164">
        <f t="shared" si="12"/>
        <v>1.4337</v>
      </c>
    </row>
    <row r="37" spans="1:24" x14ac:dyDescent="0.25">
      <c r="A37" s="116">
        <v>2.8</v>
      </c>
      <c r="B37" s="128">
        <f t="shared" si="3"/>
        <v>17100</v>
      </c>
      <c r="C37" s="61">
        <f t="shared" si="4"/>
        <v>5.1239999999999987E-2</v>
      </c>
      <c r="D37" s="62">
        <f t="shared" si="5"/>
        <v>0.87620399999999976</v>
      </c>
      <c r="E37" s="16">
        <f t="shared" si="6"/>
        <v>34.496220472440939</v>
      </c>
      <c r="F37" s="128">
        <f t="shared" si="7"/>
        <v>22700</v>
      </c>
      <c r="G37" s="61">
        <f t="shared" si="8"/>
        <v>5.636399999999999E-2</v>
      </c>
      <c r="H37" s="62">
        <f t="shared" si="9"/>
        <v>1.2794627999999997</v>
      </c>
      <c r="I37" s="16">
        <f t="shared" si="10"/>
        <v>50.372551181102359</v>
      </c>
      <c r="J37" s="123">
        <f t="shared" si="0"/>
        <v>6</v>
      </c>
      <c r="K37" s="104">
        <f t="shared" si="1"/>
        <v>1</v>
      </c>
      <c r="L37" s="44"/>
      <c r="M37" s="7"/>
      <c r="N37" s="36"/>
      <c r="O37" s="99">
        <f t="shared" si="15"/>
        <v>8.2999999999999966E-3</v>
      </c>
      <c r="P37" s="99">
        <f t="shared" si="2"/>
        <v>5.1239999999999987E-2</v>
      </c>
      <c r="Q37" s="7"/>
      <c r="R37" s="7"/>
      <c r="S37" s="7"/>
      <c r="T37" s="47">
        <f t="shared" si="14"/>
        <v>2.5999999999999996</v>
      </c>
      <c r="U37" s="162">
        <f t="shared" si="12"/>
        <v>1.4363999999999999</v>
      </c>
    </row>
    <row r="38" spans="1:24" x14ac:dyDescent="0.25">
      <c r="A38" s="115">
        <v>2.9</v>
      </c>
      <c r="B38" s="126">
        <f t="shared" si="3"/>
        <v>16500</v>
      </c>
      <c r="C38" s="101">
        <f t="shared" si="4"/>
        <v>5.4084999999999987E-2</v>
      </c>
      <c r="D38" s="102">
        <f t="shared" si="5"/>
        <v>0.89240249999999977</v>
      </c>
      <c r="E38" s="127">
        <f t="shared" si="6"/>
        <v>35.13395669291338</v>
      </c>
      <c r="F38" s="126">
        <f t="shared" si="7"/>
        <v>22000</v>
      </c>
      <c r="G38" s="101">
        <f t="shared" si="8"/>
        <v>5.9493499999999991E-2</v>
      </c>
      <c r="H38" s="102">
        <f t="shared" si="9"/>
        <v>1.3088569999999997</v>
      </c>
      <c r="I38" s="127">
        <f t="shared" si="10"/>
        <v>51.529803149606295</v>
      </c>
      <c r="J38" s="122">
        <f t="shared" si="0"/>
        <v>6</v>
      </c>
      <c r="K38" s="103">
        <f t="shared" si="1"/>
        <v>1</v>
      </c>
      <c r="L38" s="96"/>
      <c r="M38" s="7"/>
      <c r="N38" s="36"/>
      <c r="O38" s="99">
        <f t="shared" si="15"/>
        <v>8.6499999999999962E-3</v>
      </c>
      <c r="P38" s="99">
        <f t="shared" si="2"/>
        <v>5.4084999999999987E-2</v>
      </c>
      <c r="Q38" s="7"/>
      <c r="R38" s="7"/>
      <c r="S38" s="7"/>
      <c r="T38" s="159">
        <f t="shared" si="14"/>
        <v>2.6999999999999997</v>
      </c>
      <c r="U38" s="164">
        <f t="shared" si="12"/>
        <v>1.4355</v>
      </c>
    </row>
    <row r="39" spans="1:24" ht="16.5" thickBot="1" x14ac:dyDescent="0.3">
      <c r="A39" s="117">
        <v>3</v>
      </c>
      <c r="B39" s="129">
        <f t="shared" si="3"/>
        <v>15900</v>
      </c>
      <c r="C39" s="130">
        <f t="shared" si="4"/>
        <v>5.6999999999999988E-2</v>
      </c>
      <c r="D39" s="131">
        <f t="shared" si="5"/>
        <v>0.90629999999999988</v>
      </c>
      <c r="E39" s="17">
        <f t="shared" si="6"/>
        <v>35.681102362204719</v>
      </c>
      <c r="F39" s="129">
        <f t="shared" si="7"/>
        <v>21200</v>
      </c>
      <c r="G39" s="130">
        <f t="shared" si="8"/>
        <v>6.2699999999999992E-2</v>
      </c>
      <c r="H39" s="131">
        <f t="shared" si="9"/>
        <v>1.3292399999999998</v>
      </c>
      <c r="I39" s="17">
        <f t="shared" si="10"/>
        <v>52.33228346456692</v>
      </c>
      <c r="J39" s="123">
        <f t="shared" si="0"/>
        <v>6</v>
      </c>
      <c r="K39" s="104">
        <f t="shared" si="1"/>
        <v>1</v>
      </c>
      <c r="L39" s="45"/>
      <c r="M39" s="7"/>
      <c r="N39" s="36"/>
      <c r="O39" s="99">
        <f t="shared" si="15"/>
        <v>8.9999999999999959E-3</v>
      </c>
      <c r="P39" s="99">
        <f t="shared" si="2"/>
        <v>5.6999999999999988E-2</v>
      </c>
      <c r="Q39" s="7"/>
      <c r="R39" s="7"/>
      <c r="S39" s="7"/>
      <c r="T39" s="47">
        <f t="shared" si="14"/>
        <v>2.8</v>
      </c>
      <c r="U39" s="162">
        <f t="shared" si="12"/>
        <v>1.431</v>
      </c>
    </row>
    <row r="40" spans="1:24" x14ac:dyDescent="0.25">
      <c r="A40" s="7"/>
      <c r="B40" s="7"/>
      <c r="C40" s="7"/>
      <c r="D40" s="9"/>
      <c r="E40" s="9"/>
      <c r="F40" s="9"/>
      <c r="G40" s="8"/>
      <c r="H40" s="9"/>
      <c r="I40" s="7"/>
      <c r="J40" s="18"/>
      <c r="K40" s="28" t="s">
        <v>55</v>
      </c>
      <c r="L40" s="7"/>
      <c r="M40" s="7"/>
      <c r="N40" s="7"/>
      <c r="O40" s="34"/>
      <c r="P40" s="34"/>
      <c r="Q40" s="7"/>
      <c r="R40" s="7"/>
      <c r="S40" s="7"/>
      <c r="T40" s="7"/>
      <c r="U40" s="7"/>
    </row>
    <row r="41" spans="1:24" x14ac:dyDescent="0.25">
      <c r="A41" s="7"/>
      <c r="B41" s="7"/>
      <c r="C41" s="7"/>
      <c r="D41" s="20"/>
      <c r="E41" s="20"/>
      <c r="F41" s="9"/>
      <c r="G41" s="8"/>
      <c r="H41" s="8"/>
      <c r="I41" s="8"/>
      <c r="J41" s="8"/>
      <c r="K41" s="8"/>
      <c r="L41" s="7"/>
      <c r="M41" s="32"/>
      <c r="N41" s="32"/>
      <c r="O41" s="33"/>
      <c r="P41" s="34"/>
      <c r="Q41" s="7"/>
      <c r="R41" s="7"/>
      <c r="S41" s="7"/>
      <c r="T41" s="7"/>
      <c r="U41" s="7"/>
    </row>
    <row r="42" spans="1:24" x14ac:dyDescent="0.25">
      <c r="A42" s="8"/>
      <c r="B42" s="19"/>
      <c r="C42" s="20"/>
      <c r="D42" s="20"/>
      <c r="E42" s="20"/>
      <c r="F42" s="9"/>
      <c r="G42" s="8"/>
      <c r="H42" s="8"/>
      <c r="I42" s="8"/>
      <c r="J42" s="7"/>
      <c r="K42" s="7"/>
      <c r="L42" s="1"/>
      <c r="M42" s="1"/>
      <c r="N42" s="1"/>
      <c r="O42" s="1"/>
      <c r="P42" s="1"/>
      <c r="Q42" s="1"/>
      <c r="R42" s="7"/>
      <c r="S42" s="7"/>
      <c r="T42" s="7"/>
      <c r="U42" s="7"/>
    </row>
    <row r="43" spans="1:24" ht="25.5" x14ac:dyDescent="0.35">
      <c r="I43" s="40"/>
      <c r="J43" s="7"/>
      <c r="K43" s="1"/>
      <c r="L43" s="1"/>
      <c r="M43" s="1"/>
      <c r="N43" s="1"/>
      <c r="O43" s="1"/>
      <c r="P43" s="1"/>
      <c r="Q43" s="1"/>
      <c r="R43" s="40"/>
      <c r="S43" s="41"/>
      <c r="T43" s="41"/>
      <c r="U43" s="41"/>
    </row>
    <row r="44" spans="1:24" ht="25.5" x14ac:dyDescent="0.35">
      <c r="A44" s="256" t="s">
        <v>15</v>
      </c>
      <c r="B44" s="257"/>
      <c r="C44" s="258" t="s">
        <v>16</v>
      </c>
      <c r="D44" s="259"/>
      <c r="E44" s="259"/>
      <c r="F44" s="260"/>
      <c r="G44" s="39"/>
      <c r="H44" s="40"/>
      <c r="I44" s="1"/>
      <c r="J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4" ht="16.5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4" ht="16.5" thickBot="1" x14ac:dyDescent="0.3">
      <c r="A46" s="261" t="s">
        <v>0</v>
      </c>
      <c r="B46" s="262"/>
      <c r="C46" s="154" t="s">
        <v>17</v>
      </c>
      <c r="D46" s="155" t="s">
        <v>18</v>
      </c>
      <c r="E46" s="155" t="s">
        <v>19</v>
      </c>
      <c r="F46" s="156" t="s">
        <v>11</v>
      </c>
      <c r="G46" s="157" t="s">
        <v>27</v>
      </c>
      <c r="H46" s="158" t="s">
        <v>34</v>
      </c>
      <c r="I46" s="197" t="s">
        <v>45</v>
      </c>
      <c r="J46" s="198"/>
      <c r="K46" s="198"/>
      <c r="L46" s="199"/>
      <c r="M46" s="1"/>
      <c r="N46" s="1"/>
      <c r="O46" s="1"/>
      <c r="P46" s="1"/>
      <c r="Q46" s="1"/>
      <c r="R46" s="1"/>
      <c r="S46" s="1"/>
      <c r="T46" s="1"/>
      <c r="U46" s="1"/>
    </row>
    <row r="47" spans="1:24" s="64" customFormat="1" ht="16.5" thickBot="1" x14ac:dyDescent="0.3">
      <c r="A47" s="5"/>
      <c r="B47" s="1"/>
      <c r="C47" s="150" t="s">
        <v>5</v>
      </c>
      <c r="D47" s="150" t="s">
        <v>5</v>
      </c>
      <c r="E47" s="150" t="s">
        <v>14</v>
      </c>
      <c r="F47" s="151" t="s">
        <v>3</v>
      </c>
      <c r="G47" s="152" t="s">
        <v>14</v>
      </c>
      <c r="H47" s="153" t="s">
        <v>35</v>
      </c>
      <c r="I47" s="261"/>
      <c r="J47" s="262"/>
      <c r="M47" s="68"/>
      <c r="N47" s="68"/>
      <c r="O47" s="68"/>
      <c r="P47" s="68"/>
      <c r="Q47" s="68"/>
      <c r="R47" s="68"/>
      <c r="S47" s="68"/>
      <c r="T47" s="68"/>
      <c r="U47" s="68"/>
      <c r="X47" s="108"/>
    </row>
    <row r="48" spans="1:24" s="81" customFormat="1" ht="17.25" thickTop="1" thickBot="1" x14ac:dyDescent="0.3">
      <c r="A48" s="263" t="str">
        <f>B2</f>
        <v>FR2, FR3, FR4, CEM</v>
      </c>
      <c r="B48" s="264"/>
      <c r="C48" s="80">
        <f t="shared" ref="C48:H48" si="16">IF($B$2=$A50,C50)+IF($B$2=$A51,C51)+IF($B$2=$A52,C52)+IF($B$2=$A53,C53)+IF($B$2=$A54,C54)+IF($B$2=$A55,C55)+IF($B$2=$A56,C56)+IF($B$2=$A57,C57)+IF($B$2=$A58,C58)+IF($B$2=$A59,C59)+IF($B$2=$A60,C60)+IF($B$2=$A61,C61)+IF($B$2=$A62,C62)</f>
        <v>150</v>
      </c>
      <c r="D48" s="80">
        <f t="shared" si="16"/>
        <v>200</v>
      </c>
      <c r="E48" s="80">
        <f t="shared" si="16"/>
        <v>1</v>
      </c>
      <c r="F48" s="80">
        <f t="shared" si="16"/>
        <v>6</v>
      </c>
      <c r="G48" s="80">
        <f t="shared" si="16"/>
        <v>3</v>
      </c>
      <c r="H48" s="146">
        <f t="shared" si="16"/>
        <v>0.2</v>
      </c>
      <c r="I48" s="149">
        <f>IF($B$2=$A50,L50)+IF($B$2=$A51,L51)+IF($B$2=$A52,L52)+IF($B$2=$A53,L53)+IF($B$2=$A54,L54)+IF($B$2=$A55,L55)+IF($B$2=$A56,L56)+IF($B$2=$A57,L57)+IF($B$2=$A58,L58)+IF($B$2=$A59,L59)+IF($B$2=$A60,L60)+IF($B$2=$A61,L61)+IF($B$2=$A62,L62)</f>
        <v>1</v>
      </c>
      <c r="J48" s="148"/>
      <c r="K48" s="148"/>
      <c r="M48" s="95"/>
      <c r="N48" s="95"/>
      <c r="O48" s="95"/>
      <c r="P48" s="95"/>
      <c r="Q48" s="95"/>
      <c r="R48" s="95"/>
      <c r="S48" s="95"/>
      <c r="T48" s="95"/>
      <c r="U48" s="95"/>
      <c r="V48" s="95"/>
      <c r="X48" s="108"/>
    </row>
    <row r="49" spans="1:21" customFormat="1" ht="17.25" thickTop="1" thickBot="1" x14ac:dyDescent="0.3">
      <c r="A49" s="64"/>
      <c r="B49" s="26"/>
      <c r="C49" s="26"/>
      <c r="D49" s="26"/>
      <c r="E49" s="65"/>
      <c r="F49" s="26"/>
      <c r="G49" s="98"/>
      <c r="H49" s="136"/>
      <c r="I49" s="1"/>
      <c r="M49" s="1"/>
      <c r="N49" s="1"/>
      <c r="O49" s="1"/>
      <c r="P49" s="1"/>
      <c r="Q49" s="1"/>
      <c r="R49" s="1"/>
      <c r="S49" s="1"/>
      <c r="T49" s="1"/>
      <c r="U49" s="1"/>
    </row>
    <row r="50" spans="1:21" customFormat="1" ht="15" x14ac:dyDescent="0.25">
      <c r="A50" s="251" t="s">
        <v>25</v>
      </c>
      <c r="B50" s="252"/>
      <c r="C50" s="21">
        <v>150</v>
      </c>
      <c r="D50" s="21">
        <v>200</v>
      </c>
      <c r="E50" s="66">
        <v>1</v>
      </c>
      <c r="F50" s="105">
        <v>6</v>
      </c>
      <c r="G50" s="97">
        <v>3</v>
      </c>
      <c r="H50" s="97">
        <v>0.2</v>
      </c>
      <c r="L50">
        <v>1</v>
      </c>
      <c r="M50" s="1"/>
      <c r="N50" s="1"/>
      <c r="O50" s="1"/>
      <c r="P50" s="1"/>
      <c r="Q50" s="1"/>
      <c r="R50" s="1"/>
      <c r="S50" s="1"/>
      <c r="T50" s="1"/>
      <c r="U50" s="1"/>
    </row>
    <row r="51" spans="1:21" customFormat="1" ht="15" x14ac:dyDescent="0.25">
      <c r="A51" s="251" t="s">
        <v>33</v>
      </c>
      <c r="B51" s="252"/>
      <c r="C51" s="23">
        <v>150</v>
      </c>
      <c r="D51" s="23">
        <v>180</v>
      </c>
      <c r="E51" s="67">
        <v>0.8</v>
      </c>
      <c r="F51" s="24">
        <v>3</v>
      </c>
      <c r="G51" s="97">
        <f>F51/1.5</f>
        <v>2</v>
      </c>
      <c r="H51" s="97">
        <v>0.5</v>
      </c>
      <c r="L51">
        <v>2</v>
      </c>
      <c r="M51" s="1"/>
      <c r="N51" s="1"/>
      <c r="O51" s="1"/>
      <c r="P51" s="1"/>
    </row>
    <row r="52" spans="1:21" customFormat="1" ht="15" x14ac:dyDescent="0.25">
      <c r="A52" s="251" t="s">
        <v>26</v>
      </c>
      <c r="B52" s="252"/>
      <c r="C52" s="23">
        <v>150</v>
      </c>
      <c r="D52" s="23">
        <v>180</v>
      </c>
      <c r="E52" s="23">
        <v>1.5</v>
      </c>
      <c r="F52" s="24">
        <v>3</v>
      </c>
      <c r="G52" s="97">
        <f>F52/1.5</f>
        <v>2</v>
      </c>
      <c r="H52" s="97">
        <v>0.5</v>
      </c>
      <c r="L52">
        <v>3</v>
      </c>
      <c r="M52" s="1"/>
      <c r="N52" s="1"/>
      <c r="O52" s="1"/>
      <c r="P52" s="1"/>
    </row>
    <row r="53" spans="1:21" customFormat="1" ht="15" x14ac:dyDescent="0.25">
      <c r="A53" s="251" t="s">
        <v>20</v>
      </c>
      <c r="B53" s="252"/>
      <c r="C53" s="23">
        <v>100</v>
      </c>
      <c r="D53" s="23">
        <v>150</v>
      </c>
      <c r="E53" s="23">
        <v>0.3</v>
      </c>
      <c r="F53" s="25">
        <v>1.5</v>
      </c>
      <c r="G53" s="97">
        <f>F53/1.5</f>
        <v>1</v>
      </c>
      <c r="H53" s="97">
        <v>1</v>
      </c>
      <c r="L53">
        <v>4</v>
      </c>
      <c r="M53" s="1"/>
      <c r="N53" s="1"/>
      <c r="O53" s="1"/>
      <c r="P53" s="1"/>
    </row>
    <row r="54" spans="1:21" customFormat="1" ht="15" x14ac:dyDescent="0.25">
      <c r="A54" s="251" t="s">
        <v>24</v>
      </c>
      <c r="B54" s="252"/>
      <c r="C54" s="23">
        <v>200</v>
      </c>
      <c r="D54" s="23">
        <v>250</v>
      </c>
      <c r="E54" s="23">
        <v>0.5</v>
      </c>
      <c r="F54" s="25">
        <v>1.5</v>
      </c>
      <c r="G54" s="97">
        <f>F54/1.5</f>
        <v>1</v>
      </c>
      <c r="H54" s="97">
        <v>0.8</v>
      </c>
      <c r="L54">
        <v>5</v>
      </c>
      <c r="M54" s="1"/>
      <c r="N54" s="1"/>
      <c r="O54" s="1"/>
      <c r="P54" s="1"/>
    </row>
    <row r="55" spans="1:21" customFormat="1" ht="15" x14ac:dyDescent="0.25">
      <c r="A55" s="251" t="s">
        <v>32</v>
      </c>
      <c r="B55" s="252"/>
      <c r="C55" s="23">
        <v>200</v>
      </c>
      <c r="D55" s="23">
        <v>250</v>
      </c>
      <c r="E55" s="23">
        <v>0.5</v>
      </c>
      <c r="F55" s="24">
        <v>3</v>
      </c>
      <c r="G55" s="97">
        <f>F55/1.5</f>
        <v>2</v>
      </c>
      <c r="H55" s="97">
        <v>0.8</v>
      </c>
      <c r="L55">
        <v>6</v>
      </c>
      <c r="M55" s="1"/>
      <c r="N55" s="1"/>
      <c r="O55" s="1"/>
      <c r="P55" s="1"/>
    </row>
    <row r="56" spans="1:21" customFormat="1" ht="15" x14ac:dyDescent="0.25">
      <c r="A56" s="251"/>
      <c r="B56" s="252"/>
      <c r="C56" s="23"/>
      <c r="D56" s="23"/>
      <c r="E56" s="23"/>
      <c r="F56" s="24"/>
      <c r="G56" s="97"/>
      <c r="H56" s="97"/>
      <c r="I56" s="142"/>
      <c r="L56">
        <v>7</v>
      </c>
      <c r="M56" s="1"/>
      <c r="N56" s="1"/>
      <c r="O56" s="1"/>
      <c r="P56" s="1"/>
    </row>
    <row r="57" spans="1:21" customFormat="1" ht="15" x14ac:dyDescent="0.25">
      <c r="A57" s="251"/>
      <c r="B57" s="252"/>
      <c r="C57" s="23"/>
      <c r="D57" s="23"/>
      <c r="E57" s="23"/>
      <c r="F57" s="24"/>
      <c r="G57" s="97"/>
      <c r="H57" s="97"/>
      <c r="I57" s="142"/>
      <c r="L57">
        <v>8</v>
      </c>
      <c r="M57" s="1"/>
      <c r="N57" s="1"/>
      <c r="O57" s="1"/>
      <c r="P57" s="1"/>
    </row>
    <row r="58" spans="1:21" customFormat="1" ht="15" x14ac:dyDescent="0.25">
      <c r="A58" s="251"/>
      <c r="B58" s="252"/>
      <c r="C58" s="23"/>
      <c r="D58" s="23"/>
      <c r="E58" s="67"/>
      <c r="F58" s="24"/>
      <c r="G58" s="97"/>
      <c r="H58" s="135"/>
      <c r="I58" s="142"/>
      <c r="L58">
        <v>9</v>
      </c>
      <c r="M58" s="1"/>
      <c r="N58" s="1"/>
      <c r="O58" s="1"/>
      <c r="P58" s="1"/>
    </row>
    <row r="59" spans="1:21" customFormat="1" ht="15" x14ac:dyDescent="0.25">
      <c r="A59" s="251"/>
      <c r="B59" s="252"/>
      <c r="C59" s="23"/>
      <c r="D59" s="23"/>
      <c r="E59" s="23"/>
      <c r="F59" s="24"/>
      <c r="G59" s="97"/>
      <c r="H59" s="135"/>
      <c r="I59" s="142"/>
      <c r="L59">
        <v>10</v>
      </c>
      <c r="M59" s="1"/>
      <c r="N59" s="1"/>
      <c r="O59" s="1"/>
      <c r="P59" s="1"/>
    </row>
    <row r="60" spans="1:21" customFormat="1" ht="15" x14ac:dyDescent="0.25">
      <c r="A60" s="251"/>
      <c r="B60" s="252"/>
      <c r="C60" s="23"/>
      <c r="D60" s="23"/>
      <c r="E60" s="23"/>
      <c r="F60" s="25"/>
      <c r="G60" s="97"/>
      <c r="H60" s="135"/>
      <c r="I60" s="142"/>
      <c r="L60">
        <v>11</v>
      </c>
      <c r="M60" s="1"/>
      <c r="N60" s="1"/>
      <c r="O60" s="1"/>
      <c r="P60" s="1"/>
    </row>
    <row r="61" spans="1:21" customFormat="1" ht="15" x14ac:dyDescent="0.25">
      <c r="A61" s="251"/>
      <c r="B61" s="252"/>
      <c r="C61" s="23"/>
      <c r="D61" s="23"/>
      <c r="E61" s="23"/>
      <c r="F61" s="25"/>
      <c r="G61" s="97"/>
      <c r="H61" s="135"/>
      <c r="I61" s="142"/>
      <c r="L61">
        <v>12</v>
      </c>
      <c r="M61" s="1"/>
      <c r="N61" s="1"/>
      <c r="O61" s="1"/>
      <c r="P61" s="1"/>
    </row>
    <row r="62" spans="1:21" customFormat="1" ht="15" x14ac:dyDescent="0.25">
      <c r="A62" s="251"/>
      <c r="B62" s="252"/>
      <c r="C62" s="23"/>
      <c r="D62" s="23"/>
      <c r="E62" s="23"/>
      <c r="F62" s="24"/>
      <c r="G62" s="97"/>
      <c r="H62" s="135"/>
      <c r="I62" s="142"/>
      <c r="L62">
        <v>13</v>
      </c>
      <c r="M62" s="2"/>
      <c r="N62" s="1"/>
      <c r="O62" s="35"/>
      <c r="P62" s="1"/>
      <c r="Q62" s="1"/>
      <c r="R62" s="1"/>
      <c r="S62" s="1"/>
      <c r="T62" s="1"/>
      <c r="U62" s="1"/>
    </row>
    <row r="63" spans="1:21" customFormat="1" ht="15" x14ac:dyDescent="0.25">
      <c r="K63" s="1"/>
    </row>
    <row r="64" spans="1:21" customFormat="1" ht="15" x14ac:dyDescent="0.25">
      <c r="K64" s="69"/>
    </row>
    <row r="65" spans="11:11" customFormat="1" ht="15" x14ac:dyDescent="0.25">
      <c r="K65" s="1"/>
    </row>
  </sheetData>
  <mergeCells count="31">
    <mergeCell ref="A60:B60"/>
    <mergeCell ref="A61:B61"/>
    <mergeCell ref="A62:B62"/>
    <mergeCell ref="A54:B54"/>
    <mergeCell ref="A55:B55"/>
    <mergeCell ref="A56:B56"/>
    <mergeCell ref="A57:B57"/>
    <mergeCell ref="A58:B58"/>
    <mergeCell ref="A59:B59"/>
    <mergeCell ref="A53:B53"/>
    <mergeCell ref="D9:E9"/>
    <mergeCell ref="H9:I9"/>
    <mergeCell ref="A44:B44"/>
    <mergeCell ref="C44:F44"/>
    <mergeCell ref="A46:B46"/>
    <mergeCell ref="I47:J47"/>
    <mergeCell ref="A48:B48"/>
    <mergeCell ref="A50:B50"/>
    <mergeCell ref="A51:B51"/>
    <mergeCell ref="A52:B52"/>
    <mergeCell ref="D6:E6"/>
    <mergeCell ref="H6:I6"/>
    <mergeCell ref="K6:K7"/>
    <mergeCell ref="T6:U6"/>
    <mergeCell ref="C7:E7"/>
    <mergeCell ref="G7:I7"/>
    <mergeCell ref="A1:C1"/>
    <mergeCell ref="D1:G1"/>
    <mergeCell ref="B2:G2"/>
    <mergeCell ref="D3:E3"/>
    <mergeCell ref="D4:E4"/>
  </mergeCells>
  <dataValidations count="1">
    <dataValidation type="list" allowBlank="1" showInputMessage="1" showErrorMessage="1" sqref="B2:C2" xr:uid="{00000000-0002-0000-0000-000000000000}">
      <formula1>$A$50:$A$62</formula1>
    </dataValidation>
  </dataValidations>
  <pageMargins left="0.7" right="0.7" top="0.78740157499999996" bottom="0.78740157499999996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7</xdr:col>
                <xdr:colOff>371475</xdr:colOff>
                <xdr:row>0</xdr:row>
                <xdr:rowOff>104775</xdr:rowOff>
              </from>
              <to>
                <xdr:col>10</xdr:col>
                <xdr:colOff>933450</xdr:colOff>
                <xdr:row>1</xdr:row>
                <xdr:rowOff>247650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5"/>
  <sheetViews>
    <sheetView workbookViewId="0">
      <selection activeCell="B2" sqref="B2:G2"/>
    </sheetView>
  </sheetViews>
  <sheetFormatPr baseColWidth="10" defaultRowHeight="15.75" x14ac:dyDescent="0.25"/>
  <cols>
    <col min="1" max="1" width="26.42578125" customWidth="1"/>
    <col min="2" max="2" width="17" bestFit="1" customWidth="1"/>
    <col min="4" max="4" width="8.5703125" bestFit="1" customWidth="1"/>
    <col min="5" max="5" width="10.85546875" bestFit="1" customWidth="1"/>
    <col min="6" max="6" width="17" bestFit="1" customWidth="1"/>
    <col min="7" max="8" width="14.5703125" customWidth="1"/>
    <col min="9" max="9" width="12" customWidth="1"/>
    <col min="10" max="10" width="12.5703125" customWidth="1"/>
    <col min="11" max="11" width="15.7109375" customWidth="1"/>
    <col min="12" max="12" width="2.85546875" customWidth="1"/>
    <col min="13" max="14" width="11.42578125" hidden="1" customWidth="1"/>
    <col min="15" max="16" width="9.5703125" hidden="1" customWidth="1"/>
    <col min="17" max="19" width="2" hidden="1" customWidth="1"/>
    <col min="20" max="20" width="8.7109375" customWidth="1"/>
    <col min="21" max="21" width="10.7109375" customWidth="1"/>
    <col min="22" max="23" width="2.85546875" customWidth="1"/>
    <col min="24" max="24" width="43.5703125" style="106" customWidth="1"/>
  </cols>
  <sheetData>
    <row r="1" spans="1:25" ht="26.25" customHeight="1" thickBot="1" x14ac:dyDescent="0.3">
      <c r="A1" s="231" t="s">
        <v>62</v>
      </c>
      <c r="B1" s="232"/>
      <c r="C1" s="232"/>
      <c r="D1" s="233"/>
      <c r="E1" s="234"/>
      <c r="F1" s="234"/>
      <c r="G1" s="234"/>
      <c r="H1" s="27">
        <v>1.1000000000000001</v>
      </c>
      <c r="I1" s="4"/>
      <c r="J1" s="3"/>
      <c r="K1" s="3"/>
      <c r="L1" s="3"/>
      <c r="M1" s="29"/>
      <c r="X1" s="106" t="s">
        <v>28</v>
      </c>
      <c r="Y1" t="s">
        <v>50</v>
      </c>
    </row>
    <row r="2" spans="1:25" ht="27" thickBot="1" x14ac:dyDescent="0.45">
      <c r="A2" s="10" t="s">
        <v>0</v>
      </c>
      <c r="B2" s="235" t="s">
        <v>56</v>
      </c>
      <c r="C2" s="236"/>
      <c r="D2" s="236"/>
      <c r="E2" s="236"/>
      <c r="F2" s="236"/>
      <c r="G2" s="237"/>
      <c r="H2" s="58"/>
      <c r="I2" s="59"/>
      <c r="J2" s="3"/>
      <c r="K2" s="3"/>
      <c r="L2" s="3"/>
      <c r="M2" s="4"/>
      <c r="N2" s="4"/>
      <c r="O2" s="4"/>
      <c r="P2" s="30"/>
      <c r="Q2" s="31"/>
      <c r="R2" s="6"/>
      <c r="S2" s="4"/>
      <c r="T2" s="4"/>
      <c r="U2" s="4"/>
      <c r="X2" s="106" t="s">
        <v>42</v>
      </c>
      <c r="Y2" t="s">
        <v>54</v>
      </c>
    </row>
    <row r="3" spans="1:25" ht="16.5" customHeight="1" thickBot="1" x14ac:dyDescent="0.3">
      <c r="A3" s="73" t="s">
        <v>63</v>
      </c>
      <c r="B3" s="74">
        <v>60000</v>
      </c>
      <c r="C3" s="70" t="s">
        <v>68</v>
      </c>
      <c r="D3" s="238" t="s">
        <v>39</v>
      </c>
      <c r="E3" s="239"/>
      <c r="F3" s="168">
        <f>E48</f>
        <v>0.8</v>
      </c>
      <c r="G3" s="76" t="s">
        <v>65</v>
      </c>
      <c r="H3" s="143" t="s">
        <v>67</v>
      </c>
      <c r="I3" s="93"/>
      <c r="J3" s="94"/>
      <c r="K3" s="110"/>
      <c r="L3" s="7"/>
      <c r="M3" s="32"/>
      <c r="N3" s="32"/>
      <c r="O3" s="33"/>
      <c r="P3" s="7"/>
      <c r="Q3" s="7"/>
      <c r="R3" s="7"/>
      <c r="S3" s="7"/>
      <c r="T3" s="7"/>
      <c r="U3" s="7"/>
      <c r="X3" s="106" t="s">
        <v>29</v>
      </c>
      <c r="Y3" t="s">
        <v>51</v>
      </c>
    </row>
    <row r="4" spans="1:25" ht="16.5" customHeight="1" thickBot="1" x14ac:dyDescent="0.3">
      <c r="A4" s="73" t="s">
        <v>64</v>
      </c>
      <c r="B4" s="75">
        <v>15000</v>
      </c>
      <c r="C4" s="71" t="s">
        <v>68</v>
      </c>
      <c r="D4" s="240" t="s">
        <v>66</v>
      </c>
      <c r="E4" s="241"/>
      <c r="F4" s="63">
        <f>F48</f>
        <v>3</v>
      </c>
      <c r="G4" s="71" t="s">
        <v>3</v>
      </c>
      <c r="H4" s="163">
        <f>I48</f>
        <v>7</v>
      </c>
      <c r="I4" s="144"/>
      <c r="J4" s="145"/>
      <c r="K4" s="7"/>
      <c r="L4" s="7"/>
      <c r="M4" s="32"/>
      <c r="N4" s="32"/>
      <c r="O4" s="33"/>
      <c r="P4" s="7"/>
      <c r="Q4" s="7"/>
      <c r="R4" s="7"/>
      <c r="S4" s="7"/>
      <c r="T4" s="7"/>
      <c r="U4" s="7"/>
      <c r="X4" s="106" t="s">
        <v>30</v>
      </c>
      <c r="Y4" t="s">
        <v>52</v>
      </c>
    </row>
    <row r="5" spans="1:25" s="92" customFormat="1" ht="18" customHeight="1" thickBot="1" x14ac:dyDescent="0.3">
      <c r="A5" s="82"/>
      <c r="B5" s="83"/>
      <c r="C5" s="84"/>
      <c r="D5" s="85"/>
      <c r="E5" s="86"/>
      <c r="F5" s="87"/>
      <c r="G5" s="84"/>
      <c r="H5" s="88"/>
      <c r="I5" s="89"/>
      <c r="J5" s="90"/>
      <c r="K5" s="91"/>
      <c r="L5" s="91"/>
      <c r="M5" s="33"/>
      <c r="N5" s="33"/>
      <c r="O5" s="33"/>
      <c r="P5" s="91"/>
      <c r="Q5" s="91"/>
      <c r="R5" s="91"/>
      <c r="S5" s="91"/>
      <c r="T5" s="91"/>
      <c r="U5" s="91"/>
      <c r="X5" s="107" t="s">
        <v>31</v>
      </c>
      <c r="Y5" s="92" t="s">
        <v>53</v>
      </c>
    </row>
    <row r="6" spans="1:25" ht="16.5" customHeight="1" thickBot="1" x14ac:dyDescent="0.3">
      <c r="A6" s="72" t="s">
        <v>69</v>
      </c>
      <c r="B6" s="77" t="s">
        <v>4</v>
      </c>
      <c r="C6" s="78">
        <f>C48</f>
        <v>150</v>
      </c>
      <c r="D6" s="242" t="s">
        <v>5</v>
      </c>
      <c r="E6" s="243"/>
      <c r="F6" s="77" t="s">
        <v>6</v>
      </c>
      <c r="G6" s="78">
        <f>D48</f>
        <v>180</v>
      </c>
      <c r="H6" s="242" t="s">
        <v>5</v>
      </c>
      <c r="I6" s="243"/>
      <c r="J6" s="133" t="s">
        <v>73</v>
      </c>
      <c r="K6" s="244" t="s">
        <v>75</v>
      </c>
      <c r="L6" s="161"/>
      <c r="M6" s="7"/>
      <c r="N6" s="32"/>
      <c r="O6" s="33"/>
      <c r="P6" s="7"/>
      <c r="Q6" s="7"/>
      <c r="R6" s="7"/>
      <c r="S6" s="7"/>
      <c r="T6" s="246" t="s">
        <v>76</v>
      </c>
      <c r="U6" s="247"/>
    </row>
    <row r="7" spans="1:25" ht="16.5" thickBot="1" x14ac:dyDescent="0.3">
      <c r="A7" s="111" t="s">
        <v>70</v>
      </c>
      <c r="B7" s="11" t="s">
        <v>71</v>
      </c>
      <c r="C7" s="248" t="s">
        <v>72</v>
      </c>
      <c r="D7" s="249"/>
      <c r="E7" s="250"/>
      <c r="F7" s="11" t="s">
        <v>71</v>
      </c>
      <c r="G7" s="248" t="s">
        <v>72</v>
      </c>
      <c r="H7" s="249"/>
      <c r="I7" s="250"/>
      <c r="J7" s="134" t="s">
        <v>74</v>
      </c>
      <c r="K7" s="245"/>
      <c r="L7" s="42"/>
      <c r="M7" s="7"/>
      <c r="N7" s="26"/>
      <c r="O7" s="33"/>
      <c r="P7" s="7"/>
      <c r="Q7" s="7"/>
      <c r="R7" s="7"/>
      <c r="S7" s="7"/>
      <c r="T7" s="22" t="s">
        <v>35</v>
      </c>
      <c r="U7" s="25" t="s">
        <v>39</v>
      </c>
    </row>
    <row r="8" spans="1:25" ht="16.5" thickBot="1" x14ac:dyDescent="0.3">
      <c r="A8" s="112" t="s">
        <v>3</v>
      </c>
      <c r="B8" s="13" t="s">
        <v>68</v>
      </c>
      <c r="C8" s="14" t="s">
        <v>13</v>
      </c>
      <c r="D8" s="14" t="s">
        <v>5</v>
      </c>
      <c r="E8" s="15" t="s">
        <v>8</v>
      </c>
      <c r="F8" s="13" t="s">
        <v>68</v>
      </c>
      <c r="G8" s="14" t="s">
        <v>13</v>
      </c>
      <c r="H8" s="14" t="s">
        <v>5</v>
      </c>
      <c r="I8" s="15" t="s">
        <v>8</v>
      </c>
      <c r="J8" s="118" t="s">
        <v>3</v>
      </c>
      <c r="K8" s="12" t="s">
        <v>3</v>
      </c>
      <c r="L8" s="43"/>
      <c r="M8" s="7"/>
      <c r="N8" s="37"/>
      <c r="O8" s="33"/>
      <c r="P8" s="34"/>
      <c r="Q8" s="7"/>
      <c r="R8" s="7"/>
      <c r="S8" s="7"/>
      <c r="T8" s="165" t="s">
        <v>3</v>
      </c>
      <c r="U8" s="166" t="s">
        <v>5</v>
      </c>
    </row>
    <row r="9" spans="1:25" ht="17.25" thickTop="1" thickBot="1" x14ac:dyDescent="0.3">
      <c r="A9" s="113" t="s">
        <v>70</v>
      </c>
      <c r="B9" s="46" t="s">
        <v>9</v>
      </c>
      <c r="C9" s="109" t="s">
        <v>10</v>
      </c>
      <c r="D9" s="253" t="s">
        <v>41</v>
      </c>
      <c r="E9" s="254"/>
      <c r="F9" s="46" t="s">
        <v>9</v>
      </c>
      <c r="G9" s="109" t="s">
        <v>10</v>
      </c>
      <c r="H9" s="255" t="s">
        <v>41</v>
      </c>
      <c r="I9" s="254"/>
      <c r="J9" s="119" t="s">
        <v>11</v>
      </c>
      <c r="K9" s="50" t="s">
        <v>12</v>
      </c>
      <c r="L9" s="51"/>
      <c r="M9" s="7"/>
      <c r="N9" s="38"/>
      <c r="O9" s="33"/>
      <c r="P9" s="34"/>
      <c r="Q9" s="7"/>
      <c r="R9" s="7"/>
      <c r="S9" s="7"/>
      <c r="T9" s="160" t="s">
        <v>38</v>
      </c>
      <c r="U9" s="160" t="s">
        <v>39</v>
      </c>
    </row>
    <row r="10" spans="1:25" ht="17.25" thickTop="1" thickBot="1" x14ac:dyDescent="0.3">
      <c r="A10" s="114" t="s">
        <v>3</v>
      </c>
      <c r="B10" s="52" t="s">
        <v>1</v>
      </c>
      <c r="C10" s="53" t="s">
        <v>13</v>
      </c>
      <c r="D10" s="54" t="s">
        <v>5</v>
      </c>
      <c r="E10" s="55" t="s">
        <v>8</v>
      </c>
      <c r="F10" s="52" t="s">
        <v>1</v>
      </c>
      <c r="G10" s="53" t="s">
        <v>13</v>
      </c>
      <c r="H10" s="54" t="s">
        <v>5</v>
      </c>
      <c r="I10" s="132" t="s">
        <v>8</v>
      </c>
      <c r="J10" s="120" t="s">
        <v>3</v>
      </c>
      <c r="K10" s="57" t="s">
        <v>3</v>
      </c>
      <c r="L10" s="56"/>
      <c r="M10" s="7"/>
      <c r="N10" s="38"/>
      <c r="O10" s="33"/>
      <c r="P10" s="34"/>
      <c r="Q10" s="7"/>
      <c r="R10" s="7"/>
      <c r="S10" s="7"/>
      <c r="T10" s="48" t="s">
        <v>3</v>
      </c>
      <c r="U10" s="49" t="s">
        <v>5</v>
      </c>
    </row>
    <row r="11" spans="1:25" x14ac:dyDescent="0.25">
      <c r="A11" s="139" t="str">
        <f>IF(0.2&lt;H$48,"NA",0.2)</f>
        <v>NA</v>
      </c>
      <c r="B11" s="124" t="e">
        <f>IF((ROUND((IF($C$6*1000/(3.14*$A11)&gt;$B$3,$B$3,$C$6*1000/(3.14*$A11)))/1000,1)*1000)&lt;$B$4,$B$4,(ROUND((IF($C$6*1000/(3.14*$A11)&gt;$B$3,$B$3,$C$6*1000/(3.14*$A11)))/1000,1)*1000))</f>
        <v>#VALUE!</v>
      </c>
      <c r="C11" s="60" t="e">
        <f>P11</f>
        <v>#VALUE!</v>
      </c>
      <c r="D11" s="79" t="e">
        <f>+B11*C11/1000</f>
        <v>#VALUE!</v>
      </c>
      <c r="E11" s="125" t="e">
        <f>+D11*1000/25.4</f>
        <v>#VALUE!</v>
      </c>
      <c r="F11" s="124" t="e">
        <f>ROUND(IF(IF(($G$6*1000/(3.14*$A11))&gt;$B$3,$B$3,($G$6*1000/(3.14*$A11)))&lt;$B$4,$B$4,IF(($G$6*1000/(3.14*$A11))&gt;$B$3,$B$3,($G$6*1000/(3.14*$A11))))/1000,1)*1000</f>
        <v>#VALUE!</v>
      </c>
      <c r="G11" s="60" t="e">
        <f>P11*$H$1</f>
        <v>#VALUE!</v>
      </c>
      <c r="H11" s="79" t="e">
        <f>+F11*G11/1000</f>
        <v>#VALUE!</v>
      </c>
      <c r="I11" s="125" t="e">
        <f>+H11*1000/25.4</f>
        <v>#VALUE!</v>
      </c>
      <c r="J11" s="121" t="e">
        <f t="shared" ref="J11:J39" si="0">IF(A11*$G$48&gt;$F$48,$F$48,A11*$G$48)</f>
        <v>#VALUE!</v>
      </c>
      <c r="K11" s="100" t="e">
        <f t="shared" ref="K11:K39" si="1">IF((A11/2*1.08)&gt;1,1,(A11/2*1.08))</f>
        <v>#VALUE!</v>
      </c>
      <c r="L11" s="44"/>
      <c r="M11" s="7"/>
      <c r="N11" s="36"/>
      <c r="O11" s="99">
        <v>1E-3</v>
      </c>
      <c r="P11" s="99" t="e">
        <f t="shared" ref="P11:P39" si="2">IF(A11*(($F$3/100)+O11)&lt;0.001,0.001,(A11*(($F$3/100)+O11)))</f>
        <v>#VALUE!</v>
      </c>
      <c r="Q11" s="7"/>
      <c r="R11" s="7"/>
      <c r="S11" s="7"/>
      <c r="T11" s="47" t="e">
        <f>A11-0.1</f>
        <v>#VALUE!</v>
      </c>
      <c r="U11" s="162" t="e">
        <f>A11*0.03*B11/1000</f>
        <v>#VALUE!</v>
      </c>
    </row>
    <row r="12" spans="1:25" ht="16.5" thickBot="1" x14ac:dyDescent="0.3">
      <c r="A12" s="138" t="str">
        <f>IF(0.3&lt;H$48,"NA",0.3)</f>
        <v>NA</v>
      </c>
      <c r="B12" s="126" t="e">
        <f t="shared" ref="B12:B39" si="3">IF((ROUND((IF($C$6*1000/(3.14*$A12)&gt;$B$3,$B$3,$C$6*1000/(3.14*$A12)))/1000,1)*1000)&lt;$B$4,$B$4,(ROUND((IF($C$6*1000/(3.14*$A12)&gt;$B$3,$B$3,$C$6*1000/(3.14*$A12)))/1000,1)*1000))</f>
        <v>#VALUE!</v>
      </c>
      <c r="C12" s="101" t="e">
        <f t="shared" ref="C12:C39" si="4">P12</f>
        <v>#VALUE!</v>
      </c>
      <c r="D12" s="102" t="e">
        <f t="shared" ref="D12:D39" si="5">+B12*C12/1000</f>
        <v>#VALUE!</v>
      </c>
      <c r="E12" s="127" t="e">
        <f t="shared" ref="E12:E39" si="6">+D12*1000/25.4</f>
        <v>#VALUE!</v>
      </c>
      <c r="F12" s="126" t="e">
        <f t="shared" ref="F12:F39" si="7">ROUND(IF(IF(($G$6*1000/(3.14*$A12))&gt;$B$3,$B$3,($G$6*1000/(3.14*$A12)))&lt;$B$4,$B$4,IF(($G$6*1000/(3.14*$A12))&gt;$B$3,$B$3,($G$6*1000/(3.14*$A12))))/1000,1)*1000</f>
        <v>#VALUE!</v>
      </c>
      <c r="G12" s="101" t="e">
        <f t="shared" ref="G12:G39" si="8">P12*$H$1</f>
        <v>#VALUE!</v>
      </c>
      <c r="H12" s="102" t="e">
        <f t="shared" ref="H12:H39" si="9">+F12*G12/1000</f>
        <v>#VALUE!</v>
      </c>
      <c r="I12" s="127" t="e">
        <f t="shared" ref="I12:I39" si="10">+H12*1000/25.4</f>
        <v>#VALUE!</v>
      </c>
      <c r="J12" s="122" t="e">
        <f t="shared" si="0"/>
        <v>#VALUE!</v>
      </c>
      <c r="K12" s="103" t="e">
        <f t="shared" si="1"/>
        <v>#VALUE!</v>
      </c>
      <c r="L12" s="96"/>
      <c r="M12" s="7"/>
      <c r="N12" s="36"/>
      <c r="O12" s="99">
        <f>O11+0.0002</f>
        <v>1.2000000000000001E-3</v>
      </c>
      <c r="P12" s="99" t="e">
        <f t="shared" si="2"/>
        <v>#VALUE!</v>
      </c>
      <c r="Q12" s="7"/>
      <c r="R12" s="7"/>
      <c r="S12" s="7"/>
      <c r="T12" s="159" t="e">
        <f t="shared" ref="T12:T15" si="11">A12-0.1</f>
        <v>#VALUE!</v>
      </c>
      <c r="U12" s="164" t="e">
        <f t="shared" ref="U12:U39" si="12">A12*0.03*B12/1000</f>
        <v>#VALUE!</v>
      </c>
      <c r="X12" s="106" t="s">
        <v>49</v>
      </c>
      <c r="Y12" t="s">
        <v>46</v>
      </c>
    </row>
    <row r="13" spans="1:25" x14ac:dyDescent="0.25">
      <c r="A13" s="137" t="str">
        <f>IF(0.4&lt;H$48,"NA",0.4)</f>
        <v>NA</v>
      </c>
      <c r="B13" s="128" t="e">
        <f t="shared" si="3"/>
        <v>#VALUE!</v>
      </c>
      <c r="C13" s="61" t="e">
        <f t="shared" si="4"/>
        <v>#VALUE!</v>
      </c>
      <c r="D13" s="62" t="e">
        <f t="shared" si="5"/>
        <v>#VALUE!</v>
      </c>
      <c r="E13" s="16" t="e">
        <f t="shared" si="6"/>
        <v>#VALUE!</v>
      </c>
      <c r="F13" s="128" t="e">
        <f t="shared" si="7"/>
        <v>#VALUE!</v>
      </c>
      <c r="G13" s="61" t="e">
        <f t="shared" si="8"/>
        <v>#VALUE!</v>
      </c>
      <c r="H13" s="62" t="e">
        <f t="shared" si="9"/>
        <v>#VALUE!</v>
      </c>
      <c r="I13" s="16" t="e">
        <f t="shared" si="10"/>
        <v>#VALUE!</v>
      </c>
      <c r="J13" s="123" t="e">
        <f t="shared" si="0"/>
        <v>#VALUE!</v>
      </c>
      <c r="K13" s="104" t="e">
        <f t="shared" si="1"/>
        <v>#VALUE!</v>
      </c>
      <c r="L13" s="44"/>
      <c r="M13" s="7"/>
      <c r="N13" s="36"/>
      <c r="O13" s="99">
        <f t="shared" ref="O13:O23" si="13">O12+0.0002</f>
        <v>1.4000000000000002E-3</v>
      </c>
      <c r="P13" s="99" t="e">
        <f t="shared" si="2"/>
        <v>#VALUE!</v>
      </c>
      <c r="Q13" s="7"/>
      <c r="R13" s="7"/>
      <c r="S13" s="7"/>
      <c r="T13" s="47" t="e">
        <f t="shared" si="11"/>
        <v>#VALUE!</v>
      </c>
      <c r="U13" s="162" t="e">
        <f t="shared" si="12"/>
        <v>#VALUE!</v>
      </c>
      <c r="X13" s="200" t="s">
        <v>40</v>
      </c>
      <c r="Y13" s="201">
        <v>1</v>
      </c>
    </row>
    <row r="14" spans="1:25" x14ac:dyDescent="0.25">
      <c r="A14" s="138" t="str">
        <f>IF(0.5&lt;H$48,"NA",0.5)</f>
        <v>NA</v>
      </c>
      <c r="B14" s="126" t="e">
        <f t="shared" si="3"/>
        <v>#VALUE!</v>
      </c>
      <c r="C14" s="101" t="e">
        <f t="shared" si="4"/>
        <v>#VALUE!</v>
      </c>
      <c r="D14" s="102" t="e">
        <f t="shared" si="5"/>
        <v>#VALUE!</v>
      </c>
      <c r="E14" s="127" t="e">
        <f t="shared" si="6"/>
        <v>#VALUE!</v>
      </c>
      <c r="F14" s="126" t="e">
        <f t="shared" si="7"/>
        <v>#VALUE!</v>
      </c>
      <c r="G14" s="101" t="e">
        <f t="shared" si="8"/>
        <v>#VALUE!</v>
      </c>
      <c r="H14" s="102" t="e">
        <f t="shared" si="9"/>
        <v>#VALUE!</v>
      </c>
      <c r="I14" s="127" t="e">
        <f t="shared" si="10"/>
        <v>#VALUE!</v>
      </c>
      <c r="J14" s="122" t="e">
        <f t="shared" si="0"/>
        <v>#VALUE!</v>
      </c>
      <c r="K14" s="103" t="e">
        <f t="shared" si="1"/>
        <v>#VALUE!</v>
      </c>
      <c r="L14" s="96"/>
      <c r="M14" s="7"/>
      <c r="N14" s="36"/>
      <c r="O14" s="99">
        <f t="shared" si="13"/>
        <v>1.6000000000000003E-3</v>
      </c>
      <c r="P14" s="99" t="e">
        <f t="shared" si="2"/>
        <v>#VALUE!</v>
      </c>
      <c r="Q14" s="7"/>
      <c r="R14" s="7"/>
      <c r="S14" s="7"/>
      <c r="T14" s="159" t="e">
        <f t="shared" si="11"/>
        <v>#VALUE!</v>
      </c>
      <c r="U14" s="164" t="e">
        <f t="shared" si="12"/>
        <v>#VALUE!</v>
      </c>
      <c r="X14" s="202" t="s">
        <v>36</v>
      </c>
      <c r="Y14" s="203">
        <v>2</v>
      </c>
    </row>
    <row r="15" spans="1:25" x14ac:dyDescent="0.25">
      <c r="A15" s="137" t="str">
        <f>IF(0.6&lt;H$48,"NA",0.6)</f>
        <v>NA</v>
      </c>
      <c r="B15" s="128" t="e">
        <f t="shared" si="3"/>
        <v>#VALUE!</v>
      </c>
      <c r="C15" s="61" t="e">
        <f t="shared" si="4"/>
        <v>#VALUE!</v>
      </c>
      <c r="D15" s="62" t="e">
        <f t="shared" si="5"/>
        <v>#VALUE!</v>
      </c>
      <c r="E15" s="16" t="e">
        <f t="shared" si="6"/>
        <v>#VALUE!</v>
      </c>
      <c r="F15" s="128" t="e">
        <f t="shared" si="7"/>
        <v>#VALUE!</v>
      </c>
      <c r="G15" s="61" t="e">
        <f t="shared" si="8"/>
        <v>#VALUE!</v>
      </c>
      <c r="H15" s="62" t="e">
        <f t="shared" si="9"/>
        <v>#VALUE!</v>
      </c>
      <c r="I15" s="16" t="e">
        <f t="shared" si="10"/>
        <v>#VALUE!</v>
      </c>
      <c r="J15" s="123" t="e">
        <f t="shared" si="0"/>
        <v>#VALUE!</v>
      </c>
      <c r="K15" s="104" t="e">
        <f t="shared" si="1"/>
        <v>#VALUE!</v>
      </c>
      <c r="L15" s="44"/>
      <c r="M15" s="7"/>
      <c r="N15" s="36"/>
      <c r="O15" s="99">
        <f t="shared" si="13"/>
        <v>1.8000000000000004E-3</v>
      </c>
      <c r="P15" s="99" t="e">
        <f t="shared" si="2"/>
        <v>#VALUE!</v>
      </c>
      <c r="Q15" s="7"/>
      <c r="R15" s="7"/>
      <c r="S15" s="7"/>
      <c r="T15" s="47" t="e">
        <f t="shared" si="11"/>
        <v>#VALUE!</v>
      </c>
      <c r="U15" s="162" t="e">
        <f t="shared" si="12"/>
        <v>#VALUE!</v>
      </c>
      <c r="X15" s="202" t="s">
        <v>37</v>
      </c>
      <c r="Y15" s="203">
        <v>3</v>
      </c>
    </row>
    <row r="16" spans="1:25" x14ac:dyDescent="0.25">
      <c r="A16" s="138" t="str">
        <f>IF(0.7&lt;H$48,"NA",0.7)</f>
        <v>NA</v>
      </c>
      <c r="B16" s="126" t="e">
        <f t="shared" si="3"/>
        <v>#VALUE!</v>
      </c>
      <c r="C16" s="101" t="e">
        <f t="shared" si="4"/>
        <v>#VALUE!</v>
      </c>
      <c r="D16" s="102" t="e">
        <f t="shared" si="5"/>
        <v>#VALUE!</v>
      </c>
      <c r="E16" s="127" t="e">
        <f t="shared" si="6"/>
        <v>#VALUE!</v>
      </c>
      <c r="F16" s="126" t="e">
        <f t="shared" si="7"/>
        <v>#VALUE!</v>
      </c>
      <c r="G16" s="101" t="e">
        <f t="shared" si="8"/>
        <v>#VALUE!</v>
      </c>
      <c r="H16" s="102" t="e">
        <f t="shared" si="9"/>
        <v>#VALUE!</v>
      </c>
      <c r="I16" s="127" t="e">
        <f t="shared" si="10"/>
        <v>#VALUE!</v>
      </c>
      <c r="J16" s="122" t="e">
        <f t="shared" si="0"/>
        <v>#VALUE!</v>
      </c>
      <c r="K16" s="103" t="e">
        <f t="shared" si="1"/>
        <v>#VALUE!</v>
      </c>
      <c r="L16" s="96"/>
      <c r="M16" s="7"/>
      <c r="N16" s="36"/>
      <c r="O16" s="99">
        <f t="shared" si="13"/>
        <v>2.0000000000000005E-3</v>
      </c>
      <c r="P16" s="99" t="e">
        <f t="shared" si="2"/>
        <v>#VALUE!</v>
      </c>
      <c r="Q16" s="7"/>
      <c r="R16" s="7"/>
      <c r="S16" s="7"/>
      <c r="T16" s="159" t="e">
        <f>A16-0.2</f>
        <v>#VALUE!</v>
      </c>
      <c r="U16" s="164" t="e">
        <f t="shared" si="12"/>
        <v>#VALUE!</v>
      </c>
      <c r="X16" s="202" t="s">
        <v>21</v>
      </c>
      <c r="Y16" s="203">
        <v>4</v>
      </c>
    </row>
    <row r="17" spans="1:25" x14ac:dyDescent="0.25">
      <c r="A17" s="137">
        <f>IF(0.8&lt;H$48,"NA",0.8)</f>
        <v>0.8</v>
      </c>
      <c r="B17" s="128">
        <f t="shared" si="3"/>
        <v>59700</v>
      </c>
      <c r="C17" s="61">
        <f t="shared" si="4"/>
        <v>8.1600000000000006E-3</v>
      </c>
      <c r="D17" s="62">
        <f t="shared" si="5"/>
        <v>0.48715200000000003</v>
      </c>
      <c r="E17" s="16">
        <f t="shared" si="6"/>
        <v>19.179212598425199</v>
      </c>
      <c r="F17" s="128">
        <f t="shared" si="7"/>
        <v>60000</v>
      </c>
      <c r="G17" s="61">
        <f t="shared" si="8"/>
        <v>8.9760000000000013E-3</v>
      </c>
      <c r="H17" s="62">
        <f t="shared" si="9"/>
        <v>0.53856000000000004</v>
      </c>
      <c r="I17" s="16">
        <f t="shared" si="10"/>
        <v>21.203149606299217</v>
      </c>
      <c r="J17" s="123">
        <f t="shared" si="0"/>
        <v>1.6</v>
      </c>
      <c r="K17" s="104">
        <f t="shared" si="1"/>
        <v>0.43200000000000005</v>
      </c>
      <c r="L17" s="44"/>
      <c r="M17" s="7"/>
      <c r="N17" s="36"/>
      <c r="O17" s="99">
        <f t="shared" si="13"/>
        <v>2.2000000000000006E-3</v>
      </c>
      <c r="P17" s="99">
        <f t="shared" si="2"/>
        <v>8.1600000000000006E-3</v>
      </c>
      <c r="Q17" s="7"/>
      <c r="R17" s="7"/>
      <c r="S17" s="7"/>
      <c r="T17" s="47">
        <f t="shared" ref="T17:T39" si="14">A17-0.2</f>
        <v>0.60000000000000009</v>
      </c>
      <c r="U17" s="162">
        <f t="shared" si="12"/>
        <v>1.4327999999999999</v>
      </c>
      <c r="X17" s="202" t="s">
        <v>22</v>
      </c>
      <c r="Y17" s="203">
        <v>5</v>
      </c>
    </row>
    <row r="18" spans="1:25" x14ac:dyDescent="0.25">
      <c r="A18" s="138">
        <f>IF(0.9&lt;H$48,"NA",0.9)</f>
        <v>0.9</v>
      </c>
      <c r="B18" s="126">
        <f t="shared" si="3"/>
        <v>53100</v>
      </c>
      <c r="C18" s="101">
        <f t="shared" si="4"/>
        <v>9.360000000000002E-3</v>
      </c>
      <c r="D18" s="102">
        <f t="shared" si="5"/>
        <v>0.49701600000000012</v>
      </c>
      <c r="E18" s="127">
        <f t="shared" si="6"/>
        <v>19.567559055118117</v>
      </c>
      <c r="F18" s="126">
        <f t="shared" si="7"/>
        <v>60000</v>
      </c>
      <c r="G18" s="101">
        <f t="shared" si="8"/>
        <v>1.0296000000000003E-2</v>
      </c>
      <c r="H18" s="102">
        <f t="shared" si="9"/>
        <v>0.6177600000000002</v>
      </c>
      <c r="I18" s="127">
        <f t="shared" si="10"/>
        <v>24.321259842519694</v>
      </c>
      <c r="J18" s="122">
        <f t="shared" si="0"/>
        <v>1.8</v>
      </c>
      <c r="K18" s="103">
        <f t="shared" si="1"/>
        <v>0.48600000000000004</v>
      </c>
      <c r="L18" s="96"/>
      <c r="M18" s="7"/>
      <c r="N18" s="36"/>
      <c r="O18" s="99">
        <f t="shared" si="13"/>
        <v>2.4000000000000007E-3</v>
      </c>
      <c r="P18" s="99">
        <f t="shared" si="2"/>
        <v>9.360000000000002E-3</v>
      </c>
      <c r="Q18" s="7"/>
      <c r="R18" s="7"/>
      <c r="S18" s="7"/>
      <c r="T18" s="159">
        <f t="shared" si="14"/>
        <v>0.7</v>
      </c>
      <c r="U18" s="164">
        <f t="shared" si="12"/>
        <v>1.4337</v>
      </c>
      <c r="X18" s="202" t="s">
        <v>23</v>
      </c>
      <c r="Y18" s="203">
        <v>6</v>
      </c>
    </row>
    <row r="19" spans="1:25" x14ac:dyDescent="0.25">
      <c r="A19" s="137">
        <f>IF(1&lt;H$48,"NA",1)</f>
        <v>1</v>
      </c>
      <c r="B19" s="128">
        <f t="shared" si="3"/>
        <v>47800</v>
      </c>
      <c r="C19" s="61">
        <f t="shared" si="4"/>
        <v>1.0600000000000002E-2</v>
      </c>
      <c r="D19" s="62">
        <f t="shared" si="5"/>
        <v>0.50668000000000002</v>
      </c>
      <c r="E19" s="16">
        <f t="shared" si="6"/>
        <v>19.948031496062992</v>
      </c>
      <c r="F19" s="128">
        <f t="shared" si="7"/>
        <v>57300</v>
      </c>
      <c r="G19" s="61">
        <f t="shared" si="8"/>
        <v>1.1660000000000004E-2</v>
      </c>
      <c r="H19" s="62">
        <f t="shared" si="9"/>
        <v>0.66811800000000021</v>
      </c>
      <c r="I19" s="16">
        <f t="shared" si="10"/>
        <v>26.303858267716542</v>
      </c>
      <c r="J19" s="123">
        <f t="shared" si="0"/>
        <v>2</v>
      </c>
      <c r="K19" s="104">
        <f t="shared" si="1"/>
        <v>0.54</v>
      </c>
      <c r="L19" s="44"/>
      <c r="M19" s="7"/>
      <c r="N19" s="36"/>
      <c r="O19" s="99">
        <f t="shared" si="13"/>
        <v>2.6000000000000007E-3</v>
      </c>
      <c r="P19" s="99">
        <f t="shared" si="2"/>
        <v>1.0600000000000002E-2</v>
      </c>
      <c r="Q19" s="7"/>
      <c r="R19" s="7"/>
      <c r="S19" s="7"/>
      <c r="T19" s="47">
        <f t="shared" si="14"/>
        <v>0.8</v>
      </c>
      <c r="U19" s="162">
        <f t="shared" si="12"/>
        <v>1.4339999999999999</v>
      </c>
      <c r="X19" s="204" t="s">
        <v>57</v>
      </c>
      <c r="Y19" s="203">
        <v>7</v>
      </c>
    </row>
    <row r="20" spans="1:25" x14ac:dyDescent="0.25">
      <c r="A20" s="138">
        <f>IF(1.1&lt;H$48,"NA",1.1)</f>
        <v>1.1000000000000001</v>
      </c>
      <c r="B20" s="126">
        <f t="shared" si="3"/>
        <v>43400</v>
      </c>
      <c r="C20" s="101">
        <f t="shared" si="4"/>
        <v>1.1880000000000002E-2</v>
      </c>
      <c r="D20" s="102">
        <f t="shared" si="5"/>
        <v>0.51559200000000005</v>
      </c>
      <c r="E20" s="127">
        <f t="shared" si="6"/>
        <v>20.298897637795282</v>
      </c>
      <c r="F20" s="126">
        <f t="shared" si="7"/>
        <v>52100</v>
      </c>
      <c r="G20" s="101">
        <f t="shared" si="8"/>
        <v>1.3068000000000003E-2</v>
      </c>
      <c r="H20" s="102">
        <f t="shared" si="9"/>
        <v>0.68084280000000008</v>
      </c>
      <c r="I20" s="127">
        <f t="shared" si="10"/>
        <v>26.804834645669299</v>
      </c>
      <c r="J20" s="122">
        <f t="shared" si="0"/>
        <v>2.2000000000000002</v>
      </c>
      <c r="K20" s="103">
        <f t="shared" si="1"/>
        <v>0.59400000000000008</v>
      </c>
      <c r="L20" s="96"/>
      <c r="M20" s="7"/>
      <c r="N20" s="36"/>
      <c r="O20" s="99">
        <f t="shared" si="13"/>
        <v>2.8000000000000008E-3</v>
      </c>
      <c r="P20" s="99">
        <f t="shared" si="2"/>
        <v>1.1880000000000002E-2</v>
      </c>
      <c r="Q20" s="7"/>
      <c r="R20" s="8"/>
      <c r="S20" s="7"/>
      <c r="T20" s="159">
        <f t="shared" si="14"/>
        <v>0.90000000000000013</v>
      </c>
      <c r="U20" s="164">
        <f t="shared" si="12"/>
        <v>1.4322000000000001</v>
      </c>
      <c r="X20" s="204"/>
      <c r="Y20" s="203">
        <v>8</v>
      </c>
    </row>
    <row r="21" spans="1:25" x14ac:dyDescent="0.25">
      <c r="A21" s="140">
        <f>IF(1.2&lt;H$48,"NA",1.2)</f>
        <v>1.2</v>
      </c>
      <c r="B21" s="128">
        <f t="shared" si="3"/>
        <v>39800</v>
      </c>
      <c r="C21" s="61">
        <f t="shared" si="4"/>
        <v>1.3200000000000002E-2</v>
      </c>
      <c r="D21" s="62">
        <f t="shared" si="5"/>
        <v>0.52536000000000005</v>
      </c>
      <c r="E21" s="16">
        <f t="shared" si="6"/>
        <v>20.683464566929135</v>
      </c>
      <c r="F21" s="128">
        <f t="shared" si="7"/>
        <v>47800</v>
      </c>
      <c r="G21" s="61">
        <f t="shared" si="8"/>
        <v>1.4520000000000003E-2</v>
      </c>
      <c r="H21" s="62">
        <f t="shared" si="9"/>
        <v>0.69405600000000012</v>
      </c>
      <c r="I21" s="16">
        <f t="shared" si="10"/>
        <v>27.325039370078748</v>
      </c>
      <c r="J21" s="123">
        <f t="shared" si="0"/>
        <v>2.4</v>
      </c>
      <c r="K21" s="104">
        <f t="shared" si="1"/>
        <v>0.64800000000000002</v>
      </c>
      <c r="L21" s="44"/>
      <c r="M21" s="7"/>
      <c r="N21" s="36"/>
      <c r="O21" s="99">
        <f t="shared" si="13"/>
        <v>3.0000000000000009E-3</v>
      </c>
      <c r="P21" s="99">
        <f t="shared" si="2"/>
        <v>1.3200000000000002E-2</v>
      </c>
      <c r="Q21" s="7"/>
      <c r="R21" s="8"/>
      <c r="S21" s="7"/>
      <c r="T21" s="47">
        <f t="shared" si="14"/>
        <v>1</v>
      </c>
      <c r="U21" s="162">
        <f t="shared" si="12"/>
        <v>1.4327999999999999</v>
      </c>
      <c r="X21" s="205"/>
      <c r="Y21" s="203">
        <v>9</v>
      </c>
    </row>
    <row r="22" spans="1:25" x14ac:dyDescent="0.25">
      <c r="A22" s="138">
        <f>IF(1.3&lt;H$48,"NA",1.3)</f>
        <v>1.3</v>
      </c>
      <c r="B22" s="126">
        <f t="shared" si="3"/>
        <v>36700</v>
      </c>
      <c r="C22" s="101">
        <f t="shared" si="4"/>
        <v>1.4560000000000002E-2</v>
      </c>
      <c r="D22" s="102">
        <f t="shared" si="5"/>
        <v>0.53435200000000005</v>
      </c>
      <c r="E22" s="127">
        <f t="shared" si="6"/>
        <v>21.037480314960636</v>
      </c>
      <c r="F22" s="126">
        <f t="shared" si="7"/>
        <v>44100</v>
      </c>
      <c r="G22" s="101">
        <f t="shared" si="8"/>
        <v>1.6016000000000002E-2</v>
      </c>
      <c r="H22" s="102">
        <f t="shared" si="9"/>
        <v>0.70630560000000009</v>
      </c>
      <c r="I22" s="127">
        <f t="shared" si="10"/>
        <v>27.80730708661418</v>
      </c>
      <c r="J22" s="122">
        <f t="shared" si="0"/>
        <v>2.6</v>
      </c>
      <c r="K22" s="103">
        <f t="shared" si="1"/>
        <v>0.70200000000000007</v>
      </c>
      <c r="L22" s="96"/>
      <c r="M22" s="7"/>
      <c r="N22" s="36"/>
      <c r="O22" s="99">
        <f t="shared" si="13"/>
        <v>3.200000000000001E-3</v>
      </c>
      <c r="P22" s="99">
        <f t="shared" si="2"/>
        <v>1.4560000000000002E-2</v>
      </c>
      <c r="Q22" s="7"/>
      <c r="R22" s="7"/>
      <c r="S22" s="7"/>
      <c r="T22" s="159">
        <f t="shared" si="14"/>
        <v>1.1000000000000001</v>
      </c>
      <c r="U22" s="164">
        <f t="shared" si="12"/>
        <v>1.4313</v>
      </c>
      <c r="X22" s="205"/>
      <c r="Y22" s="203">
        <v>10</v>
      </c>
    </row>
    <row r="23" spans="1:25" x14ac:dyDescent="0.25">
      <c r="A23" s="140">
        <f>IF(1.4&lt;H$48,"NA",1.4)</f>
        <v>1.4</v>
      </c>
      <c r="B23" s="128">
        <f t="shared" si="3"/>
        <v>34100</v>
      </c>
      <c r="C23" s="61">
        <f t="shared" si="4"/>
        <v>1.5959999999999998E-2</v>
      </c>
      <c r="D23" s="62">
        <f t="shared" si="5"/>
        <v>0.54423599999999994</v>
      </c>
      <c r="E23" s="16">
        <f t="shared" si="6"/>
        <v>21.426614173228348</v>
      </c>
      <c r="F23" s="128">
        <f t="shared" si="7"/>
        <v>40900</v>
      </c>
      <c r="G23" s="61">
        <f t="shared" si="8"/>
        <v>1.7555999999999999E-2</v>
      </c>
      <c r="H23" s="62">
        <f t="shared" si="9"/>
        <v>0.71804040000000002</v>
      </c>
      <c r="I23" s="16">
        <f t="shared" si="10"/>
        <v>28.269307086614173</v>
      </c>
      <c r="J23" s="123">
        <f t="shared" si="0"/>
        <v>2.8</v>
      </c>
      <c r="K23" s="104">
        <f t="shared" si="1"/>
        <v>0.75600000000000001</v>
      </c>
      <c r="L23" s="44"/>
      <c r="M23" s="7"/>
      <c r="N23" s="36"/>
      <c r="O23" s="99">
        <f t="shared" si="13"/>
        <v>3.4000000000000011E-3</v>
      </c>
      <c r="P23" s="99">
        <f t="shared" si="2"/>
        <v>1.5959999999999998E-2</v>
      </c>
      <c r="Q23" s="7"/>
      <c r="R23" s="7"/>
      <c r="S23" s="7"/>
      <c r="T23" s="47">
        <f t="shared" si="14"/>
        <v>1.2</v>
      </c>
      <c r="U23" s="162">
        <f t="shared" si="12"/>
        <v>1.4321999999999999</v>
      </c>
      <c r="X23" s="205"/>
      <c r="Y23" s="203">
        <v>11</v>
      </c>
    </row>
    <row r="24" spans="1:25" x14ac:dyDescent="0.25">
      <c r="A24" s="138">
        <f>IF(1.5&lt;H$48,"NA",1.5)</f>
        <v>1.5</v>
      </c>
      <c r="B24" s="126">
        <f t="shared" si="3"/>
        <v>31800</v>
      </c>
      <c r="C24" s="101">
        <f t="shared" si="4"/>
        <v>1.7625000000000002E-2</v>
      </c>
      <c r="D24" s="102">
        <f t="shared" si="5"/>
        <v>0.56047500000000006</v>
      </c>
      <c r="E24" s="127">
        <f t="shared" si="6"/>
        <v>22.065944881889767</v>
      </c>
      <c r="F24" s="126">
        <f t="shared" si="7"/>
        <v>38200</v>
      </c>
      <c r="G24" s="101">
        <f t="shared" si="8"/>
        <v>1.9387500000000002E-2</v>
      </c>
      <c r="H24" s="102">
        <f t="shared" si="9"/>
        <v>0.74060250000000005</v>
      </c>
      <c r="I24" s="127">
        <f t="shared" si="10"/>
        <v>29.157578740157486</v>
      </c>
      <c r="J24" s="122">
        <f t="shared" si="0"/>
        <v>3</v>
      </c>
      <c r="K24" s="103">
        <f t="shared" si="1"/>
        <v>0.81</v>
      </c>
      <c r="L24" s="96"/>
      <c r="M24" s="7"/>
      <c r="N24" s="36"/>
      <c r="O24" s="99">
        <f>O23+0.00035</f>
        <v>3.7500000000000012E-3</v>
      </c>
      <c r="P24" s="99">
        <f t="shared" si="2"/>
        <v>1.7625000000000002E-2</v>
      </c>
      <c r="Q24" s="7"/>
      <c r="R24" s="7"/>
      <c r="S24" s="7"/>
      <c r="T24" s="159">
        <f t="shared" si="14"/>
        <v>1.3</v>
      </c>
      <c r="U24" s="164">
        <f t="shared" si="12"/>
        <v>1.431</v>
      </c>
      <c r="X24" s="205"/>
      <c r="Y24" s="203">
        <v>12</v>
      </c>
    </row>
    <row r="25" spans="1:25" ht="16.5" thickBot="1" x14ac:dyDescent="0.3">
      <c r="A25" s="116">
        <v>1.6</v>
      </c>
      <c r="B25" s="128">
        <f t="shared" si="3"/>
        <v>29900</v>
      </c>
      <c r="C25" s="61">
        <f t="shared" si="4"/>
        <v>1.9360000000000002E-2</v>
      </c>
      <c r="D25" s="62">
        <f t="shared" si="5"/>
        <v>0.57886400000000005</v>
      </c>
      <c r="E25" s="16">
        <f t="shared" si="6"/>
        <v>22.789921259842522</v>
      </c>
      <c r="F25" s="128">
        <f t="shared" si="7"/>
        <v>35800</v>
      </c>
      <c r="G25" s="61">
        <f t="shared" si="8"/>
        <v>2.1296000000000002E-2</v>
      </c>
      <c r="H25" s="62">
        <f t="shared" si="9"/>
        <v>0.7623968000000001</v>
      </c>
      <c r="I25" s="16">
        <f t="shared" si="10"/>
        <v>30.015622047244101</v>
      </c>
      <c r="J25" s="123">
        <f t="shared" si="0"/>
        <v>3</v>
      </c>
      <c r="K25" s="104">
        <f t="shared" si="1"/>
        <v>0.8640000000000001</v>
      </c>
      <c r="L25" s="44"/>
      <c r="M25" s="7"/>
      <c r="N25" s="36"/>
      <c r="O25" s="99">
        <f t="shared" ref="O25:O39" si="15">O24+0.00035</f>
        <v>4.1000000000000012E-3</v>
      </c>
      <c r="P25" s="99">
        <f t="shared" si="2"/>
        <v>1.9360000000000002E-2</v>
      </c>
      <c r="Q25" s="7"/>
      <c r="R25" s="7"/>
      <c r="S25" s="7"/>
      <c r="T25" s="47">
        <f t="shared" si="14"/>
        <v>1.4000000000000001</v>
      </c>
      <c r="U25" s="162">
        <f t="shared" si="12"/>
        <v>1.4352</v>
      </c>
      <c r="X25" s="206"/>
      <c r="Y25" s="207">
        <v>13</v>
      </c>
    </row>
    <row r="26" spans="1:25" x14ac:dyDescent="0.25">
      <c r="A26" s="115">
        <v>1.7</v>
      </c>
      <c r="B26" s="126">
        <f t="shared" si="3"/>
        <v>28100</v>
      </c>
      <c r="C26" s="101">
        <f t="shared" si="4"/>
        <v>2.1165E-2</v>
      </c>
      <c r="D26" s="102">
        <f t="shared" si="5"/>
        <v>0.5947365</v>
      </c>
      <c r="E26" s="127">
        <f t="shared" si="6"/>
        <v>23.414822834645669</v>
      </c>
      <c r="F26" s="126">
        <f t="shared" si="7"/>
        <v>33700</v>
      </c>
      <c r="G26" s="101">
        <f t="shared" si="8"/>
        <v>2.32815E-2</v>
      </c>
      <c r="H26" s="102">
        <f t="shared" si="9"/>
        <v>0.78458654999999999</v>
      </c>
      <c r="I26" s="127">
        <f t="shared" si="10"/>
        <v>30.889234251968507</v>
      </c>
      <c r="J26" s="122">
        <f t="shared" si="0"/>
        <v>3</v>
      </c>
      <c r="K26" s="103">
        <f t="shared" si="1"/>
        <v>0.91800000000000004</v>
      </c>
      <c r="L26" s="96"/>
      <c r="M26" s="7"/>
      <c r="N26" s="36"/>
      <c r="O26" s="99">
        <f t="shared" si="15"/>
        <v>4.4500000000000008E-3</v>
      </c>
      <c r="P26" s="99">
        <f t="shared" si="2"/>
        <v>2.1165E-2</v>
      </c>
      <c r="Q26" s="7"/>
      <c r="R26" s="7"/>
      <c r="S26" s="7"/>
      <c r="T26" s="159">
        <f t="shared" si="14"/>
        <v>1.5</v>
      </c>
      <c r="U26" s="164">
        <f t="shared" si="12"/>
        <v>1.4330999999999998</v>
      </c>
    </row>
    <row r="27" spans="1:25" x14ac:dyDescent="0.25">
      <c r="A27" s="116">
        <v>1.8</v>
      </c>
      <c r="B27" s="128">
        <f t="shared" si="3"/>
        <v>26500</v>
      </c>
      <c r="C27" s="61">
        <f t="shared" si="4"/>
        <v>2.3040000000000001E-2</v>
      </c>
      <c r="D27" s="62">
        <f t="shared" si="5"/>
        <v>0.6105600000000001</v>
      </c>
      <c r="E27" s="16">
        <f t="shared" si="6"/>
        <v>24.037795275590554</v>
      </c>
      <c r="F27" s="128">
        <f t="shared" si="7"/>
        <v>31800</v>
      </c>
      <c r="G27" s="61">
        <f t="shared" si="8"/>
        <v>2.5344000000000002E-2</v>
      </c>
      <c r="H27" s="62">
        <f t="shared" si="9"/>
        <v>0.80593920000000008</v>
      </c>
      <c r="I27" s="16">
        <f t="shared" si="10"/>
        <v>31.729889763779532</v>
      </c>
      <c r="J27" s="123">
        <f t="shared" si="0"/>
        <v>3</v>
      </c>
      <c r="K27" s="104">
        <f t="shared" si="1"/>
        <v>0.97200000000000009</v>
      </c>
      <c r="L27" s="44"/>
      <c r="M27" s="7"/>
      <c r="N27" s="36"/>
      <c r="O27" s="99">
        <f t="shared" si="15"/>
        <v>4.8000000000000004E-3</v>
      </c>
      <c r="P27" s="99">
        <f t="shared" si="2"/>
        <v>2.3040000000000001E-2</v>
      </c>
      <c r="Q27" s="7"/>
      <c r="R27" s="7"/>
      <c r="S27" s="7"/>
      <c r="T27" s="47">
        <f t="shared" si="14"/>
        <v>1.6</v>
      </c>
      <c r="U27" s="162">
        <f t="shared" si="12"/>
        <v>1.431</v>
      </c>
    </row>
    <row r="28" spans="1:25" x14ac:dyDescent="0.25">
      <c r="A28" s="115">
        <v>1.9</v>
      </c>
      <c r="B28" s="126">
        <f t="shared" si="3"/>
        <v>25100</v>
      </c>
      <c r="C28" s="101">
        <f t="shared" si="4"/>
        <v>2.4985E-2</v>
      </c>
      <c r="D28" s="102">
        <f t="shared" si="5"/>
        <v>0.62712350000000006</v>
      </c>
      <c r="E28" s="127">
        <f t="shared" si="6"/>
        <v>24.689901574803152</v>
      </c>
      <c r="F28" s="126">
        <f t="shared" si="7"/>
        <v>30200</v>
      </c>
      <c r="G28" s="101">
        <f t="shared" si="8"/>
        <v>2.7483500000000001E-2</v>
      </c>
      <c r="H28" s="102">
        <f t="shared" si="9"/>
        <v>0.83000170000000006</v>
      </c>
      <c r="I28" s="127">
        <f t="shared" si="10"/>
        <v>32.677232283464569</v>
      </c>
      <c r="J28" s="122">
        <f t="shared" si="0"/>
        <v>3</v>
      </c>
      <c r="K28" s="103">
        <f t="shared" si="1"/>
        <v>1</v>
      </c>
      <c r="L28" s="96"/>
      <c r="M28" s="7"/>
      <c r="N28" s="36"/>
      <c r="O28" s="99">
        <f t="shared" si="15"/>
        <v>5.1500000000000001E-3</v>
      </c>
      <c r="P28" s="99">
        <f t="shared" si="2"/>
        <v>2.4985E-2</v>
      </c>
      <c r="Q28" s="7"/>
      <c r="R28" s="7"/>
      <c r="S28" s="7"/>
      <c r="T28" s="159">
        <f t="shared" si="14"/>
        <v>1.7</v>
      </c>
      <c r="U28" s="164">
        <f t="shared" si="12"/>
        <v>1.4306999999999999</v>
      </c>
    </row>
    <row r="29" spans="1:25" x14ac:dyDescent="0.25">
      <c r="A29" s="116">
        <v>2</v>
      </c>
      <c r="B29" s="128">
        <f t="shared" si="3"/>
        <v>23900</v>
      </c>
      <c r="C29" s="61">
        <f t="shared" si="4"/>
        <v>2.7E-2</v>
      </c>
      <c r="D29" s="62">
        <f t="shared" si="5"/>
        <v>0.64529999999999998</v>
      </c>
      <c r="E29" s="16">
        <f t="shared" si="6"/>
        <v>25.405511811023622</v>
      </c>
      <c r="F29" s="128">
        <f t="shared" si="7"/>
        <v>28700</v>
      </c>
      <c r="G29" s="61">
        <f t="shared" si="8"/>
        <v>2.9700000000000001E-2</v>
      </c>
      <c r="H29" s="62">
        <f t="shared" si="9"/>
        <v>0.85238999999999998</v>
      </c>
      <c r="I29" s="16">
        <f t="shared" si="10"/>
        <v>33.558661417322838</v>
      </c>
      <c r="J29" s="123">
        <f t="shared" si="0"/>
        <v>3</v>
      </c>
      <c r="K29" s="104">
        <f t="shared" si="1"/>
        <v>1</v>
      </c>
      <c r="L29" s="44"/>
      <c r="M29" s="7"/>
      <c r="N29" s="36"/>
      <c r="O29" s="99">
        <f t="shared" si="15"/>
        <v>5.4999999999999997E-3</v>
      </c>
      <c r="P29" s="99">
        <f t="shared" si="2"/>
        <v>2.7E-2</v>
      </c>
      <c r="Q29" s="7"/>
      <c r="R29" s="7"/>
      <c r="S29" s="7"/>
      <c r="T29" s="47">
        <f t="shared" si="14"/>
        <v>1.8</v>
      </c>
      <c r="U29" s="162">
        <f t="shared" si="12"/>
        <v>1.4339999999999999</v>
      </c>
      <c r="X29"/>
    </row>
    <row r="30" spans="1:25" x14ac:dyDescent="0.25">
      <c r="A30" s="115">
        <v>2.1</v>
      </c>
      <c r="B30" s="126">
        <f t="shared" si="3"/>
        <v>22700</v>
      </c>
      <c r="C30" s="101">
        <f t="shared" si="4"/>
        <v>2.9085E-2</v>
      </c>
      <c r="D30" s="102">
        <f t="shared" si="5"/>
        <v>0.66022950000000002</v>
      </c>
      <c r="E30" s="127">
        <f t="shared" si="6"/>
        <v>25.993287401574804</v>
      </c>
      <c r="F30" s="126">
        <f t="shared" si="7"/>
        <v>27300</v>
      </c>
      <c r="G30" s="101">
        <f t="shared" si="8"/>
        <v>3.1993500000000001E-2</v>
      </c>
      <c r="H30" s="102">
        <f t="shared" si="9"/>
        <v>0.87342255000000002</v>
      </c>
      <c r="I30" s="127">
        <f t="shared" si="10"/>
        <v>34.386714566929136</v>
      </c>
      <c r="J30" s="122">
        <f t="shared" si="0"/>
        <v>3</v>
      </c>
      <c r="K30" s="103">
        <f t="shared" si="1"/>
        <v>1</v>
      </c>
      <c r="L30" s="96"/>
      <c r="M30" s="7"/>
      <c r="N30" s="36"/>
      <c r="O30" s="99">
        <f t="shared" si="15"/>
        <v>5.8499999999999993E-3</v>
      </c>
      <c r="P30" s="99">
        <f t="shared" si="2"/>
        <v>2.9085E-2</v>
      </c>
      <c r="Q30" s="7"/>
      <c r="R30" s="7"/>
      <c r="S30" s="7"/>
      <c r="T30" s="159">
        <f t="shared" si="14"/>
        <v>1.9000000000000001</v>
      </c>
      <c r="U30" s="164">
        <f t="shared" si="12"/>
        <v>1.4300999999999999</v>
      </c>
      <c r="X30"/>
    </row>
    <row r="31" spans="1:25" x14ac:dyDescent="0.25">
      <c r="A31" s="116">
        <v>2.2000000000000002</v>
      </c>
      <c r="B31" s="128">
        <f t="shared" si="3"/>
        <v>21700</v>
      </c>
      <c r="C31" s="61">
        <f t="shared" si="4"/>
        <v>3.124E-2</v>
      </c>
      <c r="D31" s="62">
        <f t="shared" si="5"/>
        <v>0.67790800000000007</v>
      </c>
      <c r="E31" s="16">
        <f t="shared" si="6"/>
        <v>26.689291338582681</v>
      </c>
      <c r="F31" s="128">
        <f t="shared" si="7"/>
        <v>26100</v>
      </c>
      <c r="G31" s="61">
        <f t="shared" si="8"/>
        <v>3.4364000000000006E-2</v>
      </c>
      <c r="H31" s="62">
        <f t="shared" si="9"/>
        <v>0.89690040000000015</v>
      </c>
      <c r="I31" s="16">
        <f t="shared" si="10"/>
        <v>35.311039370078745</v>
      </c>
      <c r="J31" s="123">
        <f t="shared" si="0"/>
        <v>3</v>
      </c>
      <c r="K31" s="104">
        <f t="shared" si="1"/>
        <v>1</v>
      </c>
      <c r="L31" s="44"/>
      <c r="M31" s="7"/>
      <c r="N31" s="36"/>
      <c r="O31" s="99">
        <f t="shared" si="15"/>
        <v>6.1999999999999989E-3</v>
      </c>
      <c r="P31" s="99">
        <f t="shared" si="2"/>
        <v>3.124E-2</v>
      </c>
      <c r="Q31" s="7"/>
      <c r="R31" s="7"/>
      <c r="S31" s="7"/>
      <c r="T31" s="47">
        <f t="shared" si="14"/>
        <v>2</v>
      </c>
      <c r="U31" s="162">
        <f t="shared" si="12"/>
        <v>1.4322000000000001</v>
      </c>
      <c r="X31"/>
    </row>
    <row r="32" spans="1:25" x14ac:dyDescent="0.25">
      <c r="A32" s="115">
        <v>2.2999999999999998</v>
      </c>
      <c r="B32" s="126">
        <f t="shared" si="3"/>
        <v>20800</v>
      </c>
      <c r="C32" s="101">
        <f t="shared" si="4"/>
        <v>3.3464999999999995E-2</v>
      </c>
      <c r="D32" s="102">
        <f t="shared" si="5"/>
        <v>0.69607199999999991</v>
      </c>
      <c r="E32" s="127">
        <f t="shared" si="6"/>
        <v>27.404409448818896</v>
      </c>
      <c r="F32" s="126">
        <f t="shared" si="7"/>
        <v>24900</v>
      </c>
      <c r="G32" s="101">
        <f t="shared" si="8"/>
        <v>3.6811499999999997E-2</v>
      </c>
      <c r="H32" s="102">
        <f t="shared" si="9"/>
        <v>0.9166063499999999</v>
      </c>
      <c r="I32" s="127">
        <f t="shared" si="10"/>
        <v>36.086864173228342</v>
      </c>
      <c r="J32" s="122">
        <f t="shared" si="0"/>
        <v>3</v>
      </c>
      <c r="K32" s="103">
        <f t="shared" si="1"/>
        <v>1</v>
      </c>
      <c r="L32" s="96"/>
      <c r="M32" s="7"/>
      <c r="N32" s="36"/>
      <c r="O32" s="99">
        <f t="shared" si="15"/>
        <v>6.5499999999999985E-3</v>
      </c>
      <c r="P32" s="99">
        <f t="shared" si="2"/>
        <v>3.3464999999999995E-2</v>
      </c>
      <c r="Q32" s="7"/>
      <c r="R32" s="7"/>
      <c r="S32" s="7"/>
      <c r="T32" s="159">
        <f t="shared" si="14"/>
        <v>2.0999999999999996</v>
      </c>
      <c r="U32" s="164">
        <f t="shared" si="12"/>
        <v>1.4351999999999998</v>
      </c>
      <c r="X32"/>
    </row>
    <row r="33" spans="1:24" x14ac:dyDescent="0.25">
      <c r="A33" s="116">
        <v>2.4</v>
      </c>
      <c r="B33" s="128">
        <f t="shared" si="3"/>
        <v>19900</v>
      </c>
      <c r="C33" s="61">
        <f t="shared" si="4"/>
        <v>3.5759999999999993E-2</v>
      </c>
      <c r="D33" s="62">
        <f t="shared" si="5"/>
        <v>0.71162399999999992</v>
      </c>
      <c r="E33" s="16">
        <f t="shared" si="6"/>
        <v>28.016692913385825</v>
      </c>
      <c r="F33" s="128">
        <f t="shared" si="7"/>
        <v>23900</v>
      </c>
      <c r="G33" s="61">
        <f t="shared" si="8"/>
        <v>3.9335999999999996E-2</v>
      </c>
      <c r="H33" s="62">
        <f t="shared" si="9"/>
        <v>0.94013039999999992</v>
      </c>
      <c r="I33" s="16">
        <f t="shared" si="10"/>
        <v>37.013007874015749</v>
      </c>
      <c r="J33" s="123">
        <f t="shared" si="0"/>
        <v>3</v>
      </c>
      <c r="K33" s="104">
        <f t="shared" si="1"/>
        <v>1</v>
      </c>
      <c r="L33" s="44"/>
      <c r="M33" s="7"/>
      <c r="N33" s="36"/>
      <c r="O33" s="99">
        <f t="shared" si="15"/>
        <v>6.8999999999999981E-3</v>
      </c>
      <c r="P33" s="99">
        <f t="shared" si="2"/>
        <v>3.5759999999999993E-2</v>
      </c>
      <c r="Q33" s="7"/>
      <c r="R33" s="7"/>
      <c r="S33" s="7"/>
      <c r="T33" s="47">
        <f t="shared" si="14"/>
        <v>2.1999999999999997</v>
      </c>
      <c r="U33" s="162">
        <f t="shared" si="12"/>
        <v>1.4327999999999999</v>
      </c>
    </row>
    <row r="34" spans="1:24" x14ac:dyDescent="0.25">
      <c r="A34" s="115">
        <v>2.5</v>
      </c>
      <c r="B34" s="126">
        <f t="shared" si="3"/>
        <v>19100</v>
      </c>
      <c r="C34" s="101">
        <f t="shared" si="4"/>
        <v>3.8124999999999992E-2</v>
      </c>
      <c r="D34" s="102">
        <f t="shared" si="5"/>
        <v>0.72818749999999988</v>
      </c>
      <c r="E34" s="127">
        <f t="shared" si="6"/>
        <v>28.668799212598422</v>
      </c>
      <c r="F34" s="126">
        <f t="shared" si="7"/>
        <v>22900</v>
      </c>
      <c r="G34" s="101">
        <f t="shared" si="8"/>
        <v>4.1937499999999996E-2</v>
      </c>
      <c r="H34" s="102">
        <f t="shared" si="9"/>
        <v>0.96036874999999988</v>
      </c>
      <c r="I34" s="127">
        <f t="shared" si="10"/>
        <v>37.809793307086608</v>
      </c>
      <c r="J34" s="122">
        <f t="shared" si="0"/>
        <v>3</v>
      </c>
      <c r="K34" s="103">
        <f t="shared" si="1"/>
        <v>1</v>
      </c>
      <c r="L34" s="96"/>
      <c r="M34" s="7"/>
      <c r="N34" s="36"/>
      <c r="O34" s="99">
        <f t="shared" si="15"/>
        <v>7.2499999999999978E-3</v>
      </c>
      <c r="P34" s="99">
        <f t="shared" si="2"/>
        <v>3.8124999999999992E-2</v>
      </c>
      <c r="Q34" s="7"/>
      <c r="R34" s="7"/>
      <c r="S34" s="7"/>
      <c r="T34" s="159">
        <f t="shared" si="14"/>
        <v>2.2999999999999998</v>
      </c>
      <c r="U34" s="164">
        <f t="shared" si="12"/>
        <v>1.4325000000000001</v>
      </c>
    </row>
    <row r="35" spans="1:24" x14ac:dyDescent="0.25">
      <c r="A35" s="116">
        <v>2.6</v>
      </c>
      <c r="B35" s="128">
        <f t="shared" si="3"/>
        <v>18400</v>
      </c>
      <c r="C35" s="61">
        <f t="shared" si="4"/>
        <v>4.0559999999999992E-2</v>
      </c>
      <c r="D35" s="62">
        <f t="shared" si="5"/>
        <v>0.74630399999999986</v>
      </c>
      <c r="E35" s="16">
        <f t="shared" si="6"/>
        <v>29.382047244094483</v>
      </c>
      <c r="F35" s="128">
        <f t="shared" si="7"/>
        <v>22000</v>
      </c>
      <c r="G35" s="61">
        <f t="shared" si="8"/>
        <v>4.4615999999999996E-2</v>
      </c>
      <c r="H35" s="62">
        <f t="shared" si="9"/>
        <v>0.98155199999999987</v>
      </c>
      <c r="I35" s="16">
        <f t="shared" si="10"/>
        <v>38.643779527559055</v>
      </c>
      <c r="J35" s="123">
        <f t="shared" si="0"/>
        <v>3</v>
      </c>
      <c r="K35" s="104">
        <f t="shared" si="1"/>
        <v>1</v>
      </c>
      <c r="L35" s="44"/>
      <c r="M35" s="7"/>
      <c r="N35" s="36"/>
      <c r="O35" s="99">
        <f t="shared" si="15"/>
        <v>7.5999999999999974E-3</v>
      </c>
      <c r="P35" s="99">
        <f t="shared" si="2"/>
        <v>4.0559999999999992E-2</v>
      </c>
      <c r="Q35" s="7"/>
      <c r="R35" s="7"/>
      <c r="S35" s="7"/>
      <c r="T35" s="47">
        <f t="shared" si="14"/>
        <v>2.4</v>
      </c>
      <c r="U35" s="162">
        <f t="shared" si="12"/>
        <v>1.4352</v>
      </c>
    </row>
    <row r="36" spans="1:24" x14ac:dyDescent="0.25">
      <c r="A36" s="115">
        <v>2.7</v>
      </c>
      <c r="B36" s="126">
        <f t="shared" si="3"/>
        <v>17700</v>
      </c>
      <c r="C36" s="101">
        <f t="shared" si="4"/>
        <v>4.3064999999999999E-2</v>
      </c>
      <c r="D36" s="102">
        <f t="shared" si="5"/>
        <v>0.76225049999999994</v>
      </c>
      <c r="E36" s="127">
        <f t="shared" si="6"/>
        <v>30.00986220472441</v>
      </c>
      <c r="F36" s="126">
        <f t="shared" si="7"/>
        <v>21200</v>
      </c>
      <c r="G36" s="101">
        <f t="shared" si="8"/>
        <v>4.7371500000000004E-2</v>
      </c>
      <c r="H36" s="102">
        <f t="shared" si="9"/>
        <v>1.0042758000000001</v>
      </c>
      <c r="I36" s="127">
        <f t="shared" si="10"/>
        <v>39.538417322834647</v>
      </c>
      <c r="J36" s="122">
        <f t="shared" si="0"/>
        <v>3</v>
      </c>
      <c r="K36" s="103">
        <f t="shared" si="1"/>
        <v>1</v>
      </c>
      <c r="L36" s="96"/>
      <c r="M36" s="7"/>
      <c r="N36" s="36"/>
      <c r="O36" s="99">
        <f t="shared" si="15"/>
        <v>7.949999999999997E-3</v>
      </c>
      <c r="P36" s="99">
        <f t="shared" si="2"/>
        <v>4.3064999999999999E-2</v>
      </c>
      <c r="Q36" s="7"/>
      <c r="R36" s="7"/>
      <c r="S36" s="7"/>
      <c r="T36" s="159">
        <f t="shared" si="14"/>
        <v>2.5</v>
      </c>
      <c r="U36" s="164">
        <f t="shared" si="12"/>
        <v>1.4337</v>
      </c>
    </row>
    <row r="37" spans="1:24" x14ac:dyDescent="0.25">
      <c r="A37" s="116">
        <v>2.8</v>
      </c>
      <c r="B37" s="128">
        <f t="shared" si="3"/>
        <v>17100</v>
      </c>
      <c r="C37" s="61">
        <f t="shared" si="4"/>
        <v>4.5639999999999986E-2</v>
      </c>
      <c r="D37" s="62">
        <f t="shared" si="5"/>
        <v>0.78044399999999969</v>
      </c>
      <c r="E37" s="16">
        <f t="shared" si="6"/>
        <v>30.726141732283455</v>
      </c>
      <c r="F37" s="128">
        <f t="shared" si="7"/>
        <v>20500</v>
      </c>
      <c r="G37" s="61">
        <f t="shared" si="8"/>
        <v>5.0203999999999992E-2</v>
      </c>
      <c r="H37" s="62">
        <f t="shared" si="9"/>
        <v>1.0291819999999998</v>
      </c>
      <c r="I37" s="16">
        <f t="shared" si="10"/>
        <v>40.518976377952747</v>
      </c>
      <c r="J37" s="123">
        <f t="shared" si="0"/>
        <v>3</v>
      </c>
      <c r="K37" s="104">
        <f t="shared" si="1"/>
        <v>1</v>
      </c>
      <c r="L37" s="44"/>
      <c r="M37" s="7"/>
      <c r="N37" s="36"/>
      <c r="O37" s="99">
        <f t="shared" si="15"/>
        <v>8.2999999999999966E-3</v>
      </c>
      <c r="P37" s="99">
        <f t="shared" si="2"/>
        <v>4.5639999999999986E-2</v>
      </c>
      <c r="Q37" s="7"/>
      <c r="R37" s="7"/>
      <c r="S37" s="7"/>
      <c r="T37" s="47">
        <f t="shared" si="14"/>
        <v>2.5999999999999996</v>
      </c>
      <c r="U37" s="162">
        <f t="shared" si="12"/>
        <v>1.4363999999999999</v>
      </c>
    </row>
    <row r="38" spans="1:24" x14ac:dyDescent="0.25">
      <c r="A38" s="115">
        <v>2.9</v>
      </c>
      <c r="B38" s="126">
        <f t="shared" si="3"/>
        <v>16500</v>
      </c>
      <c r="C38" s="101">
        <f t="shared" si="4"/>
        <v>4.8284999999999995E-2</v>
      </c>
      <c r="D38" s="102">
        <f t="shared" si="5"/>
        <v>0.79670249999999987</v>
      </c>
      <c r="E38" s="127">
        <f t="shared" si="6"/>
        <v>31.366240157480313</v>
      </c>
      <c r="F38" s="126">
        <f t="shared" si="7"/>
        <v>19800</v>
      </c>
      <c r="G38" s="101">
        <f t="shared" si="8"/>
        <v>5.3113500000000001E-2</v>
      </c>
      <c r="H38" s="102">
        <f t="shared" si="9"/>
        <v>1.0516473000000002</v>
      </c>
      <c r="I38" s="127">
        <f t="shared" si="10"/>
        <v>41.403437007874018</v>
      </c>
      <c r="J38" s="122">
        <f t="shared" si="0"/>
        <v>3</v>
      </c>
      <c r="K38" s="103">
        <f t="shared" si="1"/>
        <v>1</v>
      </c>
      <c r="L38" s="96"/>
      <c r="M38" s="7"/>
      <c r="N38" s="36"/>
      <c r="O38" s="99">
        <f t="shared" si="15"/>
        <v>8.6499999999999962E-3</v>
      </c>
      <c r="P38" s="99">
        <f t="shared" si="2"/>
        <v>4.8284999999999995E-2</v>
      </c>
      <c r="Q38" s="7"/>
      <c r="R38" s="7"/>
      <c r="S38" s="7"/>
      <c r="T38" s="159">
        <f t="shared" si="14"/>
        <v>2.6999999999999997</v>
      </c>
      <c r="U38" s="164">
        <f t="shared" si="12"/>
        <v>1.4355</v>
      </c>
    </row>
    <row r="39" spans="1:24" ht="16.5" thickBot="1" x14ac:dyDescent="0.3">
      <c r="A39" s="117">
        <v>3</v>
      </c>
      <c r="B39" s="129">
        <f t="shared" si="3"/>
        <v>15900</v>
      </c>
      <c r="C39" s="130">
        <f t="shared" si="4"/>
        <v>5.0999999999999983E-2</v>
      </c>
      <c r="D39" s="131">
        <f t="shared" si="5"/>
        <v>0.81089999999999973</v>
      </c>
      <c r="E39" s="17">
        <f t="shared" si="6"/>
        <v>31.925196850393693</v>
      </c>
      <c r="F39" s="129">
        <f t="shared" si="7"/>
        <v>19100</v>
      </c>
      <c r="G39" s="130">
        <f t="shared" si="8"/>
        <v>5.6099999999999983E-2</v>
      </c>
      <c r="H39" s="131">
        <f t="shared" si="9"/>
        <v>1.0715099999999997</v>
      </c>
      <c r="I39" s="17">
        <f t="shared" si="10"/>
        <v>42.185433070866132</v>
      </c>
      <c r="J39" s="123">
        <f t="shared" si="0"/>
        <v>3</v>
      </c>
      <c r="K39" s="104">
        <f t="shared" si="1"/>
        <v>1</v>
      </c>
      <c r="L39" s="45"/>
      <c r="M39" s="7"/>
      <c r="N39" s="36"/>
      <c r="O39" s="99">
        <f t="shared" si="15"/>
        <v>8.9999999999999959E-3</v>
      </c>
      <c r="P39" s="99">
        <f t="shared" si="2"/>
        <v>5.0999999999999983E-2</v>
      </c>
      <c r="Q39" s="7"/>
      <c r="R39" s="7"/>
      <c r="S39" s="7"/>
      <c r="T39" s="47">
        <f t="shared" si="14"/>
        <v>2.8</v>
      </c>
      <c r="U39" s="162">
        <f t="shared" si="12"/>
        <v>1.431</v>
      </c>
    </row>
    <row r="40" spans="1:24" x14ac:dyDescent="0.25">
      <c r="A40" s="7"/>
      <c r="B40" s="7"/>
      <c r="C40" s="7"/>
      <c r="D40" s="9"/>
      <c r="E40" s="9"/>
      <c r="F40" s="9"/>
      <c r="G40" s="8"/>
      <c r="H40" s="9"/>
      <c r="I40" s="7"/>
      <c r="J40" s="18"/>
      <c r="K40" s="28" t="s">
        <v>55</v>
      </c>
      <c r="L40" s="7"/>
      <c r="M40" s="7"/>
      <c r="N40" s="7"/>
      <c r="O40" s="34"/>
      <c r="P40" s="34"/>
      <c r="Q40" s="7"/>
      <c r="R40" s="7"/>
      <c r="S40" s="7"/>
      <c r="T40" s="7"/>
      <c r="U40" s="7"/>
    </row>
    <row r="41" spans="1:24" x14ac:dyDescent="0.25">
      <c r="A41" s="7"/>
      <c r="B41" s="7"/>
      <c r="C41" s="7"/>
      <c r="D41" s="20"/>
      <c r="E41" s="20"/>
      <c r="F41" s="9"/>
      <c r="G41" s="8"/>
      <c r="H41" s="8"/>
      <c r="I41" s="8"/>
      <c r="J41" s="8"/>
      <c r="K41" s="8"/>
      <c r="L41" s="7"/>
      <c r="M41" s="32"/>
      <c r="N41" s="32"/>
      <c r="O41" s="33"/>
      <c r="P41" s="34"/>
      <c r="Q41" s="7"/>
      <c r="R41" s="7"/>
      <c r="S41" s="7"/>
      <c r="T41" s="7"/>
      <c r="U41" s="7"/>
    </row>
    <row r="42" spans="1:24" x14ac:dyDescent="0.25">
      <c r="A42" s="8"/>
      <c r="B42" s="19"/>
      <c r="C42" s="20"/>
      <c r="D42" s="20"/>
      <c r="E42" s="20"/>
      <c r="F42" s="9"/>
      <c r="G42" s="8"/>
      <c r="H42" s="8"/>
      <c r="I42" s="8"/>
      <c r="J42" s="7"/>
      <c r="K42" s="7"/>
      <c r="L42" s="1"/>
      <c r="M42" s="1"/>
      <c r="N42" s="1"/>
      <c r="O42" s="1"/>
      <c r="P42" s="1"/>
      <c r="Q42" s="1"/>
      <c r="R42" s="7"/>
      <c r="S42" s="7"/>
      <c r="T42" s="7"/>
      <c r="U42" s="7"/>
    </row>
    <row r="43" spans="1:24" ht="25.5" x14ac:dyDescent="0.35">
      <c r="I43" s="40"/>
      <c r="J43" s="7"/>
      <c r="K43" s="1"/>
      <c r="L43" s="1"/>
      <c r="M43" s="1"/>
      <c r="N43" s="1"/>
      <c r="O43" s="1"/>
      <c r="P43" s="1"/>
      <c r="Q43" s="1"/>
      <c r="R43" s="40"/>
      <c r="S43" s="41"/>
      <c r="T43" s="41"/>
      <c r="U43" s="41"/>
    </row>
    <row r="44" spans="1:24" ht="25.5" x14ac:dyDescent="0.35">
      <c r="A44" s="256" t="s">
        <v>15</v>
      </c>
      <c r="B44" s="257"/>
      <c r="C44" s="258" t="s">
        <v>16</v>
      </c>
      <c r="D44" s="259"/>
      <c r="E44" s="259"/>
      <c r="F44" s="260"/>
      <c r="G44" s="39"/>
      <c r="H44" s="40"/>
      <c r="I44" s="1"/>
      <c r="J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4" ht="16.5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4" ht="16.5" thickBot="1" x14ac:dyDescent="0.3">
      <c r="A46" s="261" t="s">
        <v>0</v>
      </c>
      <c r="B46" s="262"/>
      <c r="C46" s="154" t="s">
        <v>17</v>
      </c>
      <c r="D46" s="155" t="s">
        <v>18</v>
      </c>
      <c r="E46" s="155" t="s">
        <v>19</v>
      </c>
      <c r="F46" s="156" t="s">
        <v>11</v>
      </c>
      <c r="G46" s="157" t="s">
        <v>27</v>
      </c>
      <c r="H46" s="158" t="s">
        <v>34</v>
      </c>
      <c r="I46" s="197" t="s">
        <v>45</v>
      </c>
      <c r="J46" s="198"/>
      <c r="K46" s="198"/>
      <c r="L46" s="199"/>
      <c r="M46" s="1"/>
      <c r="N46" s="1"/>
      <c r="O46" s="1"/>
      <c r="P46" s="1"/>
      <c r="Q46" s="1"/>
      <c r="R46" s="1"/>
      <c r="S46" s="1"/>
      <c r="T46" s="1"/>
      <c r="U46" s="1"/>
    </row>
    <row r="47" spans="1:24" s="64" customFormat="1" ht="16.5" thickBot="1" x14ac:dyDescent="0.3">
      <c r="A47" s="5"/>
      <c r="B47" s="1"/>
      <c r="C47" s="150" t="s">
        <v>5</v>
      </c>
      <c r="D47" s="150" t="s">
        <v>5</v>
      </c>
      <c r="E47" s="150" t="s">
        <v>14</v>
      </c>
      <c r="F47" s="151" t="s">
        <v>3</v>
      </c>
      <c r="G47" s="152" t="s">
        <v>14</v>
      </c>
      <c r="H47" s="153" t="s">
        <v>35</v>
      </c>
      <c r="I47" s="261"/>
      <c r="J47" s="262"/>
      <c r="M47" s="68"/>
      <c r="N47" s="68"/>
      <c r="O47" s="68"/>
      <c r="P47" s="68"/>
      <c r="Q47" s="68"/>
      <c r="R47" s="68"/>
      <c r="S47" s="68"/>
      <c r="T47" s="68"/>
      <c r="U47" s="68"/>
      <c r="X47" s="108"/>
    </row>
    <row r="48" spans="1:24" s="81" customFormat="1" ht="17.25" thickTop="1" thickBot="1" x14ac:dyDescent="0.3">
      <c r="A48" s="263" t="str">
        <f>B2</f>
        <v>FR4 with aluminium</v>
      </c>
      <c r="B48" s="264"/>
      <c r="C48" s="80">
        <f t="shared" ref="C48:H48" si="16">IF($B$2=$A50,C50)+IF($B$2=$A51,C51)+IF($B$2=$A52,C52)+IF($B$2=$A53,C53)+IF($B$2=$A54,C54)+IF($B$2=$A55,C55)+IF($B$2=$A56,C56)+IF($B$2=$A57,C57)+IF($B$2=$A58,C58)+IF($B$2=$A59,C59)+IF($B$2=$A60,C60)+IF($B$2=$A61,C61)+IF($B$2=$A62,C62)</f>
        <v>150</v>
      </c>
      <c r="D48" s="80">
        <f t="shared" si="16"/>
        <v>180</v>
      </c>
      <c r="E48" s="80">
        <f t="shared" si="16"/>
        <v>0.8</v>
      </c>
      <c r="F48" s="80">
        <f t="shared" si="16"/>
        <v>3</v>
      </c>
      <c r="G48" s="80">
        <f t="shared" si="16"/>
        <v>2</v>
      </c>
      <c r="H48" s="146">
        <f t="shared" si="16"/>
        <v>0.8</v>
      </c>
      <c r="I48" s="149">
        <f>IF($B$2=$A50,L50)+IF($B$2=$A51,L51)+IF($B$2=$A52,L52)+IF($B$2=$A53,L53)+IF($B$2=$A54,L54)+IF($B$2=$A55,L55)+IF($B$2=$A56,L56)+IF($B$2=$A57,L57)+IF($B$2=$A58,L58)+IF($B$2=$A59,L59)+IF($B$2=$A60,L60)+IF($B$2=$A61,L61)+IF($B$2=$A62,L62)</f>
        <v>7</v>
      </c>
      <c r="J48" s="148"/>
      <c r="K48" s="148"/>
      <c r="M48" s="95"/>
      <c r="N48" s="95"/>
      <c r="O48" s="95"/>
      <c r="P48" s="95"/>
      <c r="Q48" s="95"/>
      <c r="R48" s="95"/>
      <c r="S48" s="95"/>
      <c r="T48" s="95"/>
      <c r="U48" s="95"/>
      <c r="V48" s="95"/>
      <c r="X48" s="108"/>
    </row>
    <row r="49" spans="1:21" customFormat="1" ht="17.25" thickTop="1" thickBot="1" x14ac:dyDescent="0.3">
      <c r="A49" s="64"/>
      <c r="B49" s="26"/>
      <c r="C49" s="26"/>
      <c r="D49" s="26"/>
      <c r="E49" s="65"/>
      <c r="F49" s="26"/>
      <c r="G49" s="98"/>
      <c r="H49" s="136"/>
      <c r="I49" s="1"/>
      <c r="M49" s="1"/>
      <c r="N49" s="1"/>
      <c r="O49" s="1"/>
      <c r="P49" s="1"/>
      <c r="Q49" s="1"/>
      <c r="R49" s="1"/>
      <c r="S49" s="1"/>
      <c r="T49" s="1"/>
      <c r="U49" s="1"/>
    </row>
    <row r="50" spans="1:21" customFormat="1" ht="15" x14ac:dyDescent="0.25">
      <c r="A50" s="251" t="s">
        <v>25</v>
      </c>
      <c r="B50" s="252"/>
      <c r="C50" s="21">
        <v>150</v>
      </c>
      <c r="D50" s="21">
        <v>200</v>
      </c>
      <c r="E50" s="66">
        <v>1</v>
      </c>
      <c r="F50" s="105">
        <v>6</v>
      </c>
      <c r="G50" s="97">
        <v>3</v>
      </c>
      <c r="H50" s="97">
        <v>0.2</v>
      </c>
      <c r="L50">
        <v>1</v>
      </c>
      <c r="M50" s="1"/>
      <c r="N50" s="1"/>
      <c r="O50" s="1"/>
      <c r="P50" s="1"/>
      <c r="Q50" s="1"/>
      <c r="R50" s="1"/>
      <c r="S50" s="1"/>
      <c r="T50" s="1"/>
      <c r="U50" s="1"/>
    </row>
    <row r="51" spans="1:21" customFormat="1" ht="15" x14ac:dyDescent="0.25">
      <c r="A51" s="251" t="s">
        <v>33</v>
      </c>
      <c r="B51" s="252"/>
      <c r="C51" s="23">
        <v>150</v>
      </c>
      <c r="D51" s="23">
        <v>180</v>
      </c>
      <c r="E51" s="67">
        <v>0.8</v>
      </c>
      <c r="F51" s="24">
        <v>3</v>
      </c>
      <c r="G51" s="97">
        <f t="shared" ref="G51:G56" si="17">F51/1.5</f>
        <v>2</v>
      </c>
      <c r="H51" s="97">
        <v>0.5</v>
      </c>
      <c r="L51">
        <v>2</v>
      </c>
      <c r="M51" s="1"/>
      <c r="N51" s="1"/>
      <c r="O51" s="1"/>
      <c r="P51" s="1"/>
    </row>
    <row r="52" spans="1:21" customFormat="1" ht="15" x14ac:dyDescent="0.25">
      <c r="A52" s="251" t="s">
        <v>26</v>
      </c>
      <c r="B52" s="252"/>
      <c r="C52" s="23">
        <v>150</v>
      </c>
      <c r="D52" s="23">
        <v>180</v>
      </c>
      <c r="E52" s="23">
        <v>1.5</v>
      </c>
      <c r="F52" s="24">
        <v>3</v>
      </c>
      <c r="G52" s="97">
        <f t="shared" si="17"/>
        <v>2</v>
      </c>
      <c r="H52" s="97">
        <v>0.5</v>
      </c>
      <c r="L52">
        <v>3</v>
      </c>
      <c r="M52" s="1"/>
      <c r="N52" s="1"/>
      <c r="O52" s="1"/>
      <c r="P52" s="1"/>
    </row>
    <row r="53" spans="1:21" customFormat="1" ht="15" x14ac:dyDescent="0.25">
      <c r="A53" s="251" t="s">
        <v>20</v>
      </c>
      <c r="B53" s="252"/>
      <c r="C53" s="23">
        <v>100</v>
      </c>
      <c r="D53" s="23">
        <v>150</v>
      </c>
      <c r="E53" s="23">
        <v>0.3</v>
      </c>
      <c r="F53" s="25">
        <v>1.5</v>
      </c>
      <c r="G53" s="97">
        <f t="shared" si="17"/>
        <v>1</v>
      </c>
      <c r="H53" s="97">
        <v>1</v>
      </c>
      <c r="L53">
        <v>4</v>
      </c>
      <c r="M53" s="1"/>
      <c r="N53" s="1"/>
      <c r="O53" s="1"/>
      <c r="P53" s="1"/>
    </row>
    <row r="54" spans="1:21" customFormat="1" ht="15" x14ac:dyDescent="0.25">
      <c r="A54" s="251" t="s">
        <v>24</v>
      </c>
      <c r="B54" s="252"/>
      <c r="C54" s="23">
        <v>200</v>
      </c>
      <c r="D54" s="23">
        <v>250</v>
      </c>
      <c r="E54" s="23">
        <v>0.5</v>
      </c>
      <c r="F54" s="25">
        <v>1.5</v>
      </c>
      <c r="G54" s="97">
        <f t="shared" si="17"/>
        <v>1</v>
      </c>
      <c r="H54" s="97">
        <v>0.8</v>
      </c>
      <c r="L54">
        <v>5</v>
      </c>
      <c r="M54" s="1"/>
      <c r="N54" s="1"/>
      <c r="O54" s="1"/>
      <c r="P54" s="1"/>
    </row>
    <row r="55" spans="1:21" customFormat="1" ht="15" x14ac:dyDescent="0.25">
      <c r="A55" s="251" t="s">
        <v>32</v>
      </c>
      <c r="B55" s="252"/>
      <c r="C55" s="23">
        <v>200</v>
      </c>
      <c r="D55" s="23">
        <v>250</v>
      </c>
      <c r="E55" s="23">
        <v>0.5</v>
      </c>
      <c r="F55" s="24">
        <v>3</v>
      </c>
      <c r="G55" s="97">
        <f t="shared" si="17"/>
        <v>2</v>
      </c>
      <c r="H55" s="97">
        <v>0.8</v>
      </c>
      <c r="L55">
        <v>6</v>
      </c>
      <c r="M55" s="1"/>
      <c r="N55" s="1"/>
      <c r="O55" s="1"/>
      <c r="P55" s="1"/>
    </row>
    <row r="56" spans="1:21" customFormat="1" ht="15" x14ac:dyDescent="0.25">
      <c r="A56" s="251" t="s">
        <v>56</v>
      </c>
      <c r="B56" s="252"/>
      <c r="C56" s="23">
        <v>150</v>
      </c>
      <c r="D56" s="23">
        <v>180</v>
      </c>
      <c r="E56" s="23">
        <v>0.8</v>
      </c>
      <c r="F56" s="24">
        <v>3</v>
      </c>
      <c r="G56" s="97">
        <f t="shared" si="17"/>
        <v>2</v>
      </c>
      <c r="H56" s="97">
        <v>0.8</v>
      </c>
      <c r="I56" s="142"/>
      <c r="L56">
        <v>7</v>
      </c>
      <c r="M56" s="1"/>
      <c r="N56" s="1"/>
      <c r="O56" s="1"/>
      <c r="P56" s="1"/>
    </row>
    <row r="57" spans="1:21" customFormat="1" ht="15" x14ac:dyDescent="0.25">
      <c r="A57" s="251"/>
      <c r="B57" s="252"/>
      <c r="C57" s="23"/>
      <c r="D57" s="23"/>
      <c r="E57" s="23"/>
      <c r="F57" s="24"/>
      <c r="G57" s="97"/>
      <c r="H57" s="97"/>
      <c r="I57" s="142"/>
      <c r="L57">
        <v>8</v>
      </c>
      <c r="M57" s="1"/>
      <c r="N57" s="1"/>
      <c r="O57" s="1"/>
      <c r="P57" s="1"/>
    </row>
    <row r="58" spans="1:21" customFormat="1" ht="15" x14ac:dyDescent="0.25">
      <c r="A58" s="251"/>
      <c r="B58" s="252"/>
      <c r="C58" s="23"/>
      <c r="D58" s="23"/>
      <c r="E58" s="67"/>
      <c r="F58" s="24"/>
      <c r="G58" s="97"/>
      <c r="H58" s="135"/>
      <c r="I58" s="142"/>
      <c r="L58">
        <v>9</v>
      </c>
      <c r="M58" s="1"/>
      <c r="N58" s="1"/>
      <c r="O58" s="1"/>
      <c r="P58" s="1"/>
    </row>
    <row r="59" spans="1:21" customFormat="1" ht="15" x14ac:dyDescent="0.25">
      <c r="A59" s="251"/>
      <c r="B59" s="252"/>
      <c r="C59" s="23"/>
      <c r="D59" s="23"/>
      <c r="E59" s="23"/>
      <c r="F59" s="24"/>
      <c r="G59" s="97"/>
      <c r="H59" s="135"/>
      <c r="I59" s="142"/>
      <c r="L59">
        <v>10</v>
      </c>
      <c r="M59" s="1"/>
      <c r="N59" s="1"/>
      <c r="O59" s="1"/>
      <c r="P59" s="1"/>
    </row>
    <row r="60" spans="1:21" customFormat="1" ht="15" x14ac:dyDescent="0.25">
      <c r="A60" s="251"/>
      <c r="B60" s="252"/>
      <c r="C60" s="23"/>
      <c r="D60" s="23"/>
      <c r="E60" s="23"/>
      <c r="F60" s="25"/>
      <c r="G60" s="97"/>
      <c r="H60" s="135"/>
      <c r="I60" s="142"/>
      <c r="L60">
        <v>11</v>
      </c>
      <c r="M60" s="1"/>
      <c r="N60" s="1"/>
      <c r="O60" s="1"/>
      <c r="P60" s="1"/>
    </row>
    <row r="61" spans="1:21" customFormat="1" ht="15" x14ac:dyDescent="0.25">
      <c r="A61" s="251"/>
      <c r="B61" s="252"/>
      <c r="C61" s="23"/>
      <c r="D61" s="23"/>
      <c r="E61" s="23"/>
      <c r="F61" s="25"/>
      <c r="G61" s="97"/>
      <c r="H61" s="135"/>
      <c r="I61" s="142"/>
      <c r="L61">
        <v>12</v>
      </c>
      <c r="M61" s="1"/>
      <c r="N61" s="1"/>
      <c r="O61" s="1"/>
      <c r="P61" s="1"/>
    </row>
    <row r="62" spans="1:21" customFormat="1" ht="15" x14ac:dyDescent="0.25">
      <c r="A62" s="251"/>
      <c r="B62" s="252"/>
      <c r="C62" s="23"/>
      <c r="D62" s="23"/>
      <c r="E62" s="23"/>
      <c r="F62" s="24"/>
      <c r="G62" s="97"/>
      <c r="H62" s="135"/>
      <c r="I62" s="142"/>
      <c r="L62">
        <v>13</v>
      </c>
      <c r="M62" s="2"/>
      <c r="N62" s="1"/>
      <c r="O62" s="35"/>
      <c r="P62" s="1"/>
      <c r="Q62" s="1"/>
      <c r="R62" s="1"/>
      <c r="S62" s="1"/>
      <c r="T62" s="1"/>
      <c r="U62" s="1"/>
    </row>
    <row r="63" spans="1:21" customFormat="1" ht="15" x14ac:dyDescent="0.25">
      <c r="K63" s="1"/>
    </row>
    <row r="64" spans="1:21" customFormat="1" ht="15" x14ac:dyDescent="0.25">
      <c r="K64" s="69"/>
    </row>
    <row r="65" spans="11:11" customFormat="1" ht="15" x14ac:dyDescent="0.25">
      <c r="K65" s="1"/>
    </row>
  </sheetData>
  <mergeCells count="31">
    <mergeCell ref="A62:B62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50:B50"/>
    <mergeCell ref="H6:I6"/>
    <mergeCell ref="K6:K7"/>
    <mergeCell ref="T6:U6"/>
    <mergeCell ref="C7:E7"/>
    <mergeCell ref="G7:I7"/>
    <mergeCell ref="D9:E9"/>
    <mergeCell ref="H9:I9"/>
    <mergeCell ref="D6:E6"/>
    <mergeCell ref="A44:B44"/>
    <mergeCell ref="C44:F44"/>
    <mergeCell ref="A46:B46"/>
    <mergeCell ref="I47:J47"/>
    <mergeCell ref="A48:B48"/>
    <mergeCell ref="A1:C1"/>
    <mergeCell ref="D1:G1"/>
    <mergeCell ref="B2:G2"/>
    <mergeCell ref="D3:E3"/>
    <mergeCell ref="D4:E4"/>
  </mergeCells>
  <dataValidations count="1">
    <dataValidation type="list" allowBlank="1" showInputMessage="1" showErrorMessage="1" sqref="B2:C2" xr:uid="{00000000-0002-0000-0100-000000000000}">
      <formula1>$A$50:$A$62</formula1>
    </dataValidation>
  </dataValidations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shapeId="10241" r:id="rId3">
          <objectPr defaultSize="0" autoPict="0" r:id="rId4">
            <anchor moveWithCells="1" sizeWithCells="1">
              <from>
                <xdr:col>7</xdr:col>
                <xdr:colOff>371475</xdr:colOff>
                <xdr:row>0</xdr:row>
                <xdr:rowOff>104775</xdr:rowOff>
              </from>
              <to>
                <xdr:col>10</xdr:col>
                <xdr:colOff>933450</xdr:colOff>
                <xdr:row>1</xdr:row>
                <xdr:rowOff>247650</xdr:rowOff>
              </to>
            </anchor>
          </objectPr>
        </oleObject>
      </mc:Choice>
      <mc:Fallback>
        <oleObject shapeId="10241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65"/>
  <sheetViews>
    <sheetView workbookViewId="0">
      <selection activeCell="B2" sqref="B2:G2"/>
    </sheetView>
  </sheetViews>
  <sheetFormatPr baseColWidth="10" defaultRowHeight="15.75" x14ac:dyDescent="0.25"/>
  <cols>
    <col min="1" max="1" width="23.140625" bestFit="1" customWidth="1"/>
    <col min="2" max="2" width="17" bestFit="1" customWidth="1"/>
    <col min="4" max="4" width="8.5703125" bestFit="1" customWidth="1"/>
    <col min="5" max="5" width="10.85546875" bestFit="1" customWidth="1"/>
    <col min="6" max="6" width="17" bestFit="1" customWidth="1"/>
    <col min="7" max="8" width="14.5703125" customWidth="1"/>
    <col min="9" max="9" width="10" bestFit="1" customWidth="1"/>
    <col min="10" max="10" width="12.5703125" customWidth="1"/>
    <col min="11" max="11" width="15.7109375" customWidth="1"/>
    <col min="12" max="12" width="2.85546875" customWidth="1"/>
    <col min="13" max="14" width="11.42578125" hidden="1" customWidth="1"/>
    <col min="15" max="16" width="9.5703125" hidden="1" customWidth="1"/>
    <col min="17" max="19" width="2" hidden="1" customWidth="1"/>
    <col min="20" max="20" width="8.7109375" customWidth="1"/>
    <col min="21" max="21" width="10.7109375" customWidth="1"/>
    <col min="22" max="23" width="3.7109375" customWidth="1"/>
    <col min="24" max="24" width="44.85546875" style="106" customWidth="1"/>
  </cols>
  <sheetData>
    <row r="1" spans="1:25" ht="26.25" customHeight="1" thickBot="1" x14ac:dyDescent="0.3">
      <c r="A1" s="231" t="s">
        <v>62</v>
      </c>
      <c r="B1" s="232"/>
      <c r="C1" s="232"/>
      <c r="D1" s="233"/>
      <c r="E1" s="234"/>
      <c r="F1" s="234"/>
      <c r="G1" s="234"/>
      <c r="H1" s="27">
        <v>1.1000000000000001</v>
      </c>
      <c r="I1" s="4"/>
      <c r="J1" s="3"/>
      <c r="K1" s="3"/>
      <c r="L1" s="3"/>
      <c r="M1" s="29"/>
      <c r="X1" s="106" t="s">
        <v>28</v>
      </c>
      <c r="Y1" t="s">
        <v>50</v>
      </c>
    </row>
    <row r="2" spans="1:25" ht="27" thickBot="1" x14ac:dyDescent="0.45">
      <c r="A2" s="10" t="s">
        <v>0</v>
      </c>
      <c r="B2" s="235" t="s">
        <v>33</v>
      </c>
      <c r="C2" s="236"/>
      <c r="D2" s="236"/>
      <c r="E2" s="236"/>
      <c r="F2" s="236"/>
      <c r="G2" s="237"/>
      <c r="H2" s="58"/>
      <c r="I2" s="59"/>
      <c r="J2" s="3"/>
      <c r="K2" s="3"/>
      <c r="L2" s="3"/>
      <c r="M2" s="4"/>
      <c r="N2" s="4"/>
      <c r="O2" s="4"/>
      <c r="P2" s="30"/>
      <c r="Q2" s="31"/>
      <c r="R2" s="6"/>
      <c r="S2" s="4"/>
      <c r="T2" s="4"/>
      <c r="U2" s="4"/>
      <c r="X2" s="106" t="s">
        <v>42</v>
      </c>
      <c r="Y2" t="s">
        <v>54</v>
      </c>
    </row>
    <row r="3" spans="1:25" ht="16.5" customHeight="1" thickBot="1" x14ac:dyDescent="0.3">
      <c r="A3" s="73" t="s">
        <v>63</v>
      </c>
      <c r="B3" s="74">
        <v>60000</v>
      </c>
      <c r="C3" s="70" t="s">
        <v>68</v>
      </c>
      <c r="D3" s="238" t="s">
        <v>39</v>
      </c>
      <c r="E3" s="239"/>
      <c r="F3" s="168">
        <f>E48</f>
        <v>0.8</v>
      </c>
      <c r="G3" s="76" t="s">
        <v>65</v>
      </c>
      <c r="H3" s="143" t="s">
        <v>67</v>
      </c>
      <c r="I3" s="93"/>
      <c r="J3" s="94"/>
      <c r="K3" s="110"/>
      <c r="L3" s="7"/>
      <c r="M3" s="32"/>
      <c r="N3" s="32"/>
      <c r="O3" s="33"/>
      <c r="P3" s="7"/>
      <c r="Q3" s="7"/>
      <c r="R3" s="7"/>
      <c r="S3" s="7"/>
      <c r="T3" s="7"/>
      <c r="U3" s="7"/>
      <c r="X3" s="106" t="s">
        <v>29</v>
      </c>
      <c r="Y3" t="s">
        <v>51</v>
      </c>
    </row>
    <row r="4" spans="1:25" ht="16.5" customHeight="1" thickBot="1" x14ac:dyDescent="0.3">
      <c r="A4" s="73" t="s">
        <v>64</v>
      </c>
      <c r="B4" s="75">
        <v>15000</v>
      </c>
      <c r="C4" s="71" t="s">
        <v>68</v>
      </c>
      <c r="D4" s="240" t="s">
        <v>66</v>
      </c>
      <c r="E4" s="241"/>
      <c r="F4" s="63">
        <f>F48</f>
        <v>3</v>
      </c>
      <c r="G4" s="71" t="s">
        <v>3</v>
      </c>
      <c r="H4" s="163">
        <f>L48</f>
        <v>2</v>
      </c>
      <c r="I4" s="144"/>
      <c r="J4" s="145"/>
      <c r="K4" s="7"/>
      <c r="L4" s="7"/>
      <c r="M4" s="32"/>
      <c r="N4" s="32"/>
      <c r="O4" s="33"/>
      <c r="P4" s="7"/>
      <c r="Q4" s="7"/>
      <c r="R4" s="7"/>
      <c r="S4" s="7"/>
      <c r="T4" s="7"/>
      <c r="U4" s="7"/>
      <c r="X4" s="106" t="s">
        <v>30</v>
      </c>
      <c r="Y4" t="s">
        <v>52</v>
      </c>
    </row>
    <row r="5" spans="1:25" s="92" customFormat="1" ht="18" customHeight="1" thickBot="1" x14ac:dyDescent="0.3">
      <c r="A5" s="82"/>
      <c r="B5" s="83"/>
      <c r="C5" s="84"/>
      <c r="D5" s="85"/>
      <c r="E5" s="86"/>
      <c r="F5" s="87"/>
      <c r="G5" s="84"/>
      <c r="H5" s="88"/>
      <c r="I5" s="89"/>
      <c r="J5" s="90"/>
      <c r="K5" s="91"/>
      <c r="L5" s="91"/>
      <c r="M5" s="33"/>
      <c r="N5" s="33"/>
      <c r="O5" s="33"/>
      <c r="P5" s="91"/>
      <c r="Q5" s="91"/>
      <c r="R5" s="91"/>
      <c r="S5" s="91"/>
      <c r="T5" s="91"/>
      <c r="U5" s="91"/>
      <c r="X5" s="107" t="s">
        <v>31</v>
      </c>
      <c r="Y5" s="92" t="s">
        <v>53</v>
      </c>
    </row>
    <row r="6" spans="1:25" ht="16.5" customHeight="1" thickBot="1" x14ac:dyDescent="0.3">
      <c r="A6" s="72" t="s">
        <v>69</v>
      </c>
      <c r="B6" s="77" t="s">
        <v>4</v>
      </c>
      <c r="C6" s="78">
        <f>C48</f>
        <v>150</v>
      </c>
      <c r="D6" s="242" t="s">
        <v>5</v>
      </c>
      <c r="E6" s="243"/>
      <c r="F6" s="77" t="s">
        <v>6</v>
      </c>
      <c r="G6" s="78">
        <f>D48</f>
        <v>180</v>
      </c>
      <c r="H6" s="242" t="s">
        <v>5</v>
      </c>
      <c r="I6" s="243"/>
      <c r="J6" s="133" t="s">
        <v>73</v>
      </c>
      <c r="K6" s="244" t="s">
        <v>75</v>
      </c>
      <c r="L6" s="161"/>
      <c r="M6" s="7"/>
      <c r="N6" s="32"/>
      <c r="O6" s="33"/>
      <c r="P6" s="7"/>
      <c r="Q6" s="7"/>
      <c r="R6" s="7"/>
      <c r="S6" s="7"/>
      <c r="T6" s="246" t="s">
        <v>76</v>
      </c>
      <c r="U6" s="247"/>
    </row>
    <row r="7" spans="1:25" ht="16.5" thickBot="1" x14ac:dyDescent="0.3">
      <c r="A7" s="111" t="s">
        <v>70</v>
      </c>
      <c r="B7" s="11" t="s">
        <v>71</v>
      </c>
      <c r="C7" s="248" t="s">
        <v>72</v>
      </c>
      <c r="D7" s="249"/>
      <c r="E7" s="250"/>
      <c r="F7" s="11" t="s">
        <v>71</v>
      </c>
      <c r="G7" s="248" t="s">
        <v>72</v>
      </c>
      <c r="H7" s="249"/>
      <c r="I7" s="250"/>
      <c r="J7" s="134" t="s">
        <v>74</v>
      </c>
      <c r="K7" s="245"/>
      <c r="L7" s="42"/>
      <c r="M7" s="7"/>
      <c r="N7" s="26"/>
      <c r="O7" s="33"/>
      <c r="P7" s="7"/>
      <c r="Q7" s="7"/>
      <c r="R7" s="7"/>
      <c r="S7" s="7"/>
      <c r="T7" s="22" t="s">
        <v>35</v>
      </c>
      <c r="U7" s="25" t="s">
        <v>39</v>
      </c>
    </row>
    <row r="8" spans="1:25" ht="16.5" thickBot="1" x14ac:dyDescent="0.3">
      <c r="A8" s="112" t="s">
        <v>3</v>
      </c>
      <c r="B8" s="13" t="s">
        <v>68</v>
      </c>
      <c r="C8" s="14" t="s">
        <v>13</v>
      </c>
      <c r="D8" s="14" t="s">
        <v>5</v>
      </c>
      <c r="E8" s="15" t="s">
        <v>8</v>
      </c>
      <c r="F8" s="13" t="s">
        <v>68</v>
      </c>
      <c r="G8" s="14" t="s">
        <v>13</v>
      </c>
      <c r="H8" s="14" t="s">
        <v>5</v>
      </c>
      <c r="I8" s="15" t="s">
        <v>8</v>
      </c>
      <c r="J8" s="118" t="s">
        <v>3</v>
      </c>
      <c r="K8" s="12" t="s">
        <v>3</v>
      </c>
      <c r="L8" s="43"/>
      <c r="M8" s="7"/>
      <c r="N8" s="37"/>
      <c r="O8" s="33"/>
      <c r="P8" s="34"/>
      <c r="Q8" s="7"/>
      <c r="R8" s="7"/>
      <c r="S8" s="7"/>
      <c r="T8" s="165" t="s">
        <v>3</v>
      </c>
      <c r="U8" s="166" t="s">
        <v>5</v>
      </c>
    </row>
    <row r="9" spans="1:25" ht="17.25" hidden="1" customHeight="1" thickTop="1" thickBot="1" x14ac:dyDescent="0.3">
      <c r="A9" s="113" t="s">
        <v>70</v>
      </c>
      <c r="B9" s="46" t="s">
        <v>9</v>
      </c>
      <c r="C9" s="109" t="s">
        <v>10</v>
      </c>
      <c r="D9" s="253" t="s">
        <v>41</v>
      </c>
      <c r="E9" s="254"/>
      <c r="F9" s="46" t="s">
        <v>9</v>
      </c>
      <c r="G9" s="109" t="s">
        <v>10</v>
      </c>
      <c r="H9" s="255" t="s">
        <v>41</v>
      </c>
      <c r="I9" s="254"/>
      <c r="J9" s="119" t="s">
        <v>11</v>
      </c>
      <c r="K9" s="50" t="s">
        <v>12</v>
      </c>
      <c r="L9" s="51"/>
      <c r="M9" s="7"/>
      <c r="N9" s="38"/>
      <c r="O9" s="33"/>
      <c r="P9" s="34"/>
      <c r="Q9" s="7"/>
      <c r="R9" s="7"/>
      <c r="S9" s="7"/>
      <c r="T9" s="160" t="s">
        <v>38</v>
      </c>
      <c r="U9" s="160" t="s">
        <v>39</v>
      </c>
    </row>
    <row r="10" spans="1:25" ht="17.25" hidden="1" customHeight="1" thickTop="1" thickBot="1" x14ac:dyDescent="0.3">
      <c r="A10" s="114" t="s">
        <v>3</v>
      </c>
      <c r="B10" s="52" t="s">
        <v>1</v>
      </c>
      <c r="C10" s="53" t="s">
        <v>13</v>
      </c>
      <c r="D10" s="54" t="s">
        <v>5</v>
      </c>
      <c r="E10" s="55" t="s">
        <v>8</v>
      </c>
      <c r="F10" s="52" t="s">
        <v>1</v>
      </c>
      <c r="G10" s="53" t="s">
        <v>13</v>
      </c>
      <c r="H10" s="54" t="s">
        <v>5</v>
      </c>
      <c r="I10" s="132" t="s">
        <v>8</v>
      </c>
      <c r="J10" s="120" t="s">
        <v>3</v>
      </c>
      <c r="K10" s="57" t="s">
        <v>3</v>
      </c>
      <c r="L10" s="56"/>
      <c r="M10" s="7"/>
      <c r="N10" s="38"/>
      <c r="O10" s="33"/>
      <c r="P10" s="34"/>
      <c r="Q10" s="7"/>
      <c r="R10" s="7"/>
      <c r="S10" s="7"/>
      <c r="T10" s="48" t="s">
        <v>3</v>
      </c>
      <c r="U10" s="49" t="s">
        <v>5</v>
      </c>
    </row>
    <row r="11" spans="1:25" ht="16.5" thickTop="1" x14ac:dyDescent="0.25">
      <c r="A11" s="169" t="str">
        <f>IF(0.2&lt;H$48,"NA",0.2)</f>
        <v>NA</v>
      </c>
      <c r="B11" s="170" t="e">
        <f>IF((ROUND((IF($C$6*1000/(3.14*$A11)&gt;$B$3,$B$3,$C$6*1000/(3.14*$A11)))/1000,1)*1000)&lt;$B$4,$B$4,(ROUND((IF($C$6*1000/(3.14*$A11)&gt;$B$3,$B$3,$C$6*1000/(3.14*$A11)))/1000,1)*1000))</f>
        <v>#VALUE!</v>
      </c>
      <c r="C11" s="171" t="e">
        <f>P11</f>
        <v>#VALUE!</v>
      </c>
      <c r="D11" s="172" t="e">
        <f>+B11*C11/1000</f>
        <v>#VALUE!</v>
      </c>
      <c r="E11" s="173" t="e">
        <f>+D11*1000/25.4</f>
        <v>#VALUE!</v>
      </c>
      <c r="F11" s="170" t="e">
        <f>ROUND(IF(IF(($G$6*1000/(3.14*$A11))&gt;$B$3,$B$3,($G$6*1000/(3.14*$A11)))&lt;$B$4,$B$4,IF(($G$6*1000/(3.14*$A11))&gt;$B$3,$B$3,($G$6*1000/(3.14*$A11))))/1000,1)*1000</f>
        <v>#VALUE!</v>
      </c>
      <c r="G11" s="171" t="e">
        <f>P11*$H$1</f>
        <v>#VALUE!</v>
      </c>
      <c r="H11" s="172" t="e">
        <f>+F11*G11/1000</f>
        <v>#VALUE!</v>
      </c>
      <c r="I11" s="173" t="e">
        <f>+H11*1000/25.4</f>
        <v>#VALUE!</v>
      </c>
      <c r="J11" s="174" t="e">
        <f t="shared" ref="J11:J39" si="0">IF(A11*$G$48&gt;$F$48,$F$48,A11*$G$48)</f>
        <v>#VALUE!</v>
      </c>
      <c r="K11" s="175" t="e">
        <f t="shared" ref="K11:K39" si="1">IF((A11/2*1.08)&gt;1,1,(A11/2*1.08))</f>
        <v>#VALUE!</v>
      </c>
      <c r="L11" s="176"/>
      <c r="M11" s="7"/>
      <c r="N11" s="36"/>
      <c r="O11" s="99">
        <v>1E-3</v>
      </c>
      <c r="P11" s="99" t="e">
        <f t="shared" ref="P11:P39" si="2">IF(A11*(($F$3/100)+O11)&lt;0.001,0.001,(A11*(($F$3/100)+O11)))</f>
        <v>#VALUE!</v>
      </c>
      <c r="Q11" s="7"/>
      <c r="R11" s="7"/>
      <c r="S11" s="7"/>
      <c r="T11" s="177" t="e">
        <f>A11-0.1</f>
        <v>#VALUE!</v>
      </c>
      <c r="U11" s="178" t="e">
        <f>A11*0.03*B11/1000</f>
        <v>#VALUE!</v>
      </c>
    </row>
    <row r="12" spans="1:25" ht="16.5" thickBot="1" x14ac:dyDescent="0.3">
      <c r="A12" s="179" t="str">
        <f>IF(0.3&lt;H$48,"NA",0.3)</f>
        <v>NA</v>
      </c>
      <c r="B12" s="180" t="e">
        <f t="shared" ref="B12:B39" si="3">IF((ROUND((IF($C$6*1000/(3.14*$A12)&gt;$B$3,$B$3,$C$6*1000/(3.14*$A12)))/1000,1)*1000)&lt;$B$4,$B$4,(ROUND((IF($C$6*1000/(3.14*$A12)&gt;$B$3,$B$3,$C$6*1000/(3.14*$A12)))/1000,1)*1000))</f>
        <v>#VALUE!</v>
      </c>
      <c r="C12" s="181" t="e">
        <f t="shared" ref="C12:C39" si="4">P12</f>
        <v>#VALUE!</v>
      </c>
      <c r="D12" s="182" t="e">
        <f t="shared" ref="D12:D39" si="5">+B12*C12/1000</f>
        <v>#VALUE!</v>
      </c>
      <c r="E12" s="183" t="e">
        <f t="shared" ref="E12:E39" si="6">+D12*1000/25.4</f>
        <v>#VALUE!</v>
      </c>
      <c r="F12" s="180" t="e">
        <f t="shared" ref="F12:F39" si="7">ROUND(IF(IF(($G$6*1000/(3.14*$A12))&gt;$B$3,$B$3,($G$6*1000/(3.14*$A12)))&lt;$B$4,$B$4,IF(($G$6*1000/(3.14*$A12))&gt;$B$3,$B$3,($G$6*1000/(3.14*$A12))))/1000,1)*1000</f>
        <v>#VALUE!</v>
      </c>
      <c r="G12" s="181" t="e">
        <f t="shared" ref="G12:G39" si="8">P12*$H$1</f>
        <v>#VALUE!</v>
      </c>
      <c r="H12" s="182" t="e">
        <f t="shared" ref="H12:H39" si="9">+F12*G12/1000</f>
        <v>#VALUE!</v>
      </c>
      <c r="I12" s="183" t="e">
        <f t="shared" ref="I12:I39" si="10">+H12*1000/25.4</f>
        <v>#VALUE!</v>
      </c>
      <c r="J12" s="184" t="e">
        <f t="shared" si="0"/>
        <v>#VALUE!</v>
      </c>
      <c r="K12" s="185" t="e">
        <f t="shared" si="1"/>
        <v>#VALUE!</v>
      </c>
      <c r="L12" s="186"/>
      <c r="M12" s="7"/>
      <c r="N12" s="36"/>
      <c r="O12" s="99">
        <f>O11+0.0002</f>
        <v>1.2000000000000001E-3</v>
      </c>
      <c r="P12" s="99" t="e">
        <f t="shared" si="2"/>
        <v>#VALUE!</v>
      </c>
      <c r="Q12" s="7"/>
      <c r="R12" s="7"/>
      <c r="S12" s="7"/>
      <c r="T12" s="187" t="e">
        <f t="shared" ref="T12:T15" si="11">A12-0.1</f>
        <v>#VALUE!</v>
      </c>
      <c r="U12" s="188" t="e">
        <f t="shared" ref="U12:U39" si="12">A12*0.03*B12/1000</f>
        <v>#VALUE!</v>
      </c>
      <c r="X12" s="106" t="s">
        <v>2</v>
      </c>
      <c r="Y12" t="s">
        <v>46</v>
      </c>
    </row>
    <row r="13" spans="1:25" x14ac:dyDescent="0.25">
      <c r="A13" s="189" t="str">
        <f>IF(0.4&lt;H$48,"NA",0.4)</f>
        <v>NA</v>
      </c>
      <c r="B13" s="190" t="e">
        <f t="shared" si="3"/>
        <v>#VALUE!</v>
      </c>
      <c r="C13" s="191" t="e">
        <f t="shared" si="4"/>
        <v>#VALUE!</v>
      </c>
      <c r="D13" s="192" t="e">
        <f t="shared" si="5"/>
        <v>#VALUE!</v>
      </c>
      <c r="E13" s="193" t="e">
        <f t="shared" si="6"/>
        <v>#VALUE!</v>
      </c>
      <c r="F13" s="190" t="e">
        <f t="shared" si="7"/>
        <v>#VALUE!</v>
      </c>
      <c r="G13" s="191" t="e">
        <f t="shared" si="8"/>
        <v>#VALUE!</v>
      </c>
      <c r="H13" s="192" t="e">
        <f t="shared" si="9"/>
        <v>#VALUE!</v>
      </c>
      <c r="I13" s="193" t="e">
        <f t="shared" si="10"/>
        <v>#VALUE!</v>
      </c>
      <c r="J13" s="194" t="e">
        <f t="shared" si="0"/>
        <v>#VALUE!</v>
      </c>
      <c r="K13" s="195" t="e">
        <f t="shared" si="1"/>
        <v>#VALUE!</v>
      </c>
      <c r="L13" s="176"/>
      <c r="M13" s="7"/>
      <c r="N13" s="36"/>
      <c r="O13" s="99">
        <f t="shared" ref="O13:O23" si="13">O12+0.0002</f>
        <v>1.4000000000000002E-3</v>
      </c>
      <c r="P13" s="99" t="e">
        <f t="shared" si="2"/>
        <v>#VALUE!</v>
      </c>
      <c r="Q13" s="7"/>
      <c r="R13" s="7"/>
      <c r="S13" s="7"/>
      <c r="T13" s="177" t="e">
        <f t="shared" si="11"/>
        <v>#VALUE!</v>
      </c>
      <c r="U13" s="178" t="e">
        <f t="shared" si="12"/>
        <v>#VALUE!</v>
      </c>
      <c r="X13" s="200" t="s">
        <v>40</v>
      </c>
      <c r="Y13" s="201">
        <v>1</v>
      </c>
    </row>
    <row r="14" spans="1:25" x14ac:dyDescent="0.25">
      <c r="A14" s="138">
        <f>IF(0.5&lt;H$48,"NA",0.5)</f>
        <v>0.5</v>
      </c>
      <c r="B14" s="126">
        <f t="shared" si="3"/>
        <v>60000</v>
      </c>
      <c r="C14" s="101">
        <f t="shared" si="4"/>
        <v>4.8000000000000004E-3</v>
      </c>
      <c r="D14" s="102">
        <f t="shared" si="5"/>
        <v>0.28799999999999998</v>
      </c>
      <c r="E14" s="127">
        <f t="shared" si="6"/>
        <v>11.338582677165356</v>
      </c>
      <c r="F14" s="126">
        <f t="shared" si="7"/>
        <v>60000</v>
      </c>
      <c r="G14" s="101">
        <f t="shared" si="8"/>
        <v>5.2800000000000008E-3</v>
      </c>
      <c r="H14" s="102">
        <f t="shared" si="9"/>
        <v>0.31680000000000008</v>
      </c>
      <c r="I14" s="127">
        <f t="shared" si="10"/>
        <v>12.472440944881892</v>
      </c>
      <c r="J14" s="122">
        <f t="shared" si="0"/>
        <v>1</v>
      </c>
      <c r="K14" s="103">
        <f t="shared" si="1"/>
        <v>0.27</v>
      </c>
      <c r="L14" s="96"/>
      <c r="M14" s="7"/>
      <c r="N14" s="36"/>
      <c r="O14" s="99">
        <f t="shared" si="13"/>
        <v>1.6000000000000003E-3</v>
      </c>
      <c r="P14" s="99">
        <f t="shared" si="2"/>
        <v>4.8000000000000004E-3</v>
      </c>
      <c r="Q14" s="7"/>
      <c r="R14" s="7"/>
      <c r="S14" s="7"/>
      <c r="T14" s="159">
        <f t="shared" si="11"/>
        <v>0.4</v>
      </c>
      <c r="U14" s="164">
        <f t="shared" si="12"/>
        <v>0.9</v>
      </c>
      <c r="X14" s="202" t="s">
        <v>36</v>
      </c>
      <c r="Y14" s="203">
        <v>2</v>
      </c>
    </row>
    <row r="15" spans="1:25" x14ac:dyDescent="0.25">
      <c r="A15" s="137">
        <f>IF(0.6&lt;H$48,"NA",0.6)</f>
        <v>0.6</v>
      </c>
      <c r="B15" s="128">
        <f t="shared" si="3"/>
        <v>60000</v>
      </c>
      <c r="C15" s="61">
        <f t="shared" si="4"/>
        <v>5.8799999999999998E-3</v>
      </c>
      <c r="D15" s="62">
        <f t="shared" si="5"/>
        <v>0.3528</v>
      </c>
      <c r="E15" s="16">
        <f t="shared" si="6"/>
        <v>13.889763779527561</v>
      </c>
      <c r="F15" s="128">
        <f t="shared" si="7"/>
        <v>60000</v>
      </c>
      <c r="G15" s="61">
        <f t="shared" si="8"/>
        <v>6.4680000000000007E-3</v>
      </c>
      <c r="H15" s="62">
        <f t="shared" si="9"/>
        <v>0.38808000000000004</v>
      </c>
      <c r="I15" s="16">
        <f t="shared" si="10"/>
        <v>15.278740157480318</v>
      </c>
      <c r="J15" s="123">
        <f t="shared" si="0"/>
        <v>1.2</v>
      </c>
      <c r="K15" s="104">
        <f t="shared" si="1"/>
        <v>0.32400000000000001</v>
      </c>
      <c r="L15" s="44"/>
      <c r="M15" s="7"/>
      <c r="N15" s="36"/>
      <c r="O15" s="99">
        <f t="shared" si="13"/>
        <v>1.8000000000000004E-3</v>
      </c>
      <c r="P15" s="99">
        <f t="shared" si="2"/>
        <v>5.8799999999999998E-3</v>
      </c>
      <c r="Q15" s="7"/>
      <c r="R15" s="7"/>
      <c r="S15" s="7"/>
      <c r="T15" s="47">
        <f t="shared" si="11"/>
        <v>0.5</v>
      </c>
      <c r="U15" s="162">
        <f t="shared" si="12"/>
        <v>1.08</v>
      </c>
      <c r="X15" s="202" t="s">
        <v>37</v>
      </c>
      <c r="Y15" s="203">
        <v>3</v>
      </c>
    </row>
    <row r="16" spans="1:25" x14ac:dyDescent="0.25">
      <c r="A16" s="138">
        <f>IF(0.7&lt;H$48,"NA",0.7)</f>
        <v>0.7</v>
      </c>
      <c r="B16" s="126">
        <f t="shared" si="3"/>
        <v>60000</v>
      </c>
      <c r="C16" s="101">
        <f t="shared" si="4"/>
        <v>6.9999999999999993E-3</v>
      </c>
      <c r="D16" s="102">
        <f t="shared" si="5"/>
        <v>0.41999999999999993</v>
      </c>
      <c r="E16" s="127">
        <f t="shared" si="6"/>
        <v>16.535433070866141</v>
      </c>
      <c r="F16" s="126">
        <f t="shared" si="7"/>
        <v>60000</v>
      </c>
      <c r="G16" s="101">
        <f t="shared" si="8"/>
        <v>7.7000000000000002E-3</v>
      </c>
      <c r="H16" s="102">
        <f t="shared" si="9"/>
        <v>0.46200000000000002</v>
      </c>
      <c r="I16" s="127">
        <f t="shared" si="10"/>
        <v>18.188976377952756</v>
      </c>
      <c r="J16" s="122">
        <f t="shared" si="0"/>
        <v>1.4</v>
      </c>
      <c r="K16" s="103">
        <f t="shared" si="1"/>
        <v>0.378</v>
      </c>
      <c r="L16" s="96"/>
      <c r="M16" s="7"/>
      <c r="N16" s="36"/>
      <c r="O16" s="99">
        <f t="shared" si="13"/>
        <v>2.0000000000000005E-3</v>
      </c>
      <c r="P16" s="99">
        <f t="shared" si="2"/>
        <v>6.9999999999999993E-3</v>
      </c>
      <c r="Q16" s="7"/>
      <c r="R16" s="7"/>
      <c r="S16" s="7"/>
      <c r="T16" s="159">
        <f>A16-0.2</f>
        <v>0.49999999999999994</v>
      </c>
      <c r="U16" s="164">
        <f t="shared" si="12"/>
        <v>1.2599999999999998</v>
      </c>
      <c r="X16" s="202" t="s">
        <v>21</v>
      </c>
      <c r="Y16" s="203">
        <v>4</v>
      </c>
    </row>
    <row r="17" spans="1:25" x14ac:dyDescent="0.25">
      <c r="A17" s="137">
        <f>IF(0.8&lt;H$48,"NA",0.8)</f>
        <v>0.8</v>
      </c>
      <c r="B17" s="128">
        <f t="shared" si="3"/>
        <v>59700</v>
      </c>
      <c r="C17" s="61">
        <f t="shared" si="4"/>
        <v>8.1600000000000006E-3</v>
      </c>
      <c r="D17" s="62">
        <f t="shared" si="5"/>
        <v>0.48715200000000003</v>
      </c>
      <c r="E17" s="16">
        <f t="shared" si="6"/>
        <v>19.179212598425199</v>
      </c>
      <c r="F17" s="128">
        <f t="shared" si="7"/>
        <v>60000</v>
      </c>
      <c r="G17" s="61">
        <f t="shared" si="8"/>
        <v>8.9760000000000013E-3</v>
      </c>
      <c r="H17" s="62">
        <f t="shared" si="9"/>
        <v>0.53856000000000004</v>
      </c>
      <c r="I17" s="16">
        <f t="shared" si="10"/>
        <v>21.203149606299217</v>
      </c>
      <c r="J17" s="123">
        <f t="shared" si="0"/>
        <v>1.6</v>
      </c>
      <c r="K17" s="104">
        <f t="shared" si="1"/>
        <v>0.43200000000000005</v>
      </c>
      <c r="L17" s="44"/>
      <c r="M17" s="7"/>
      <c r="N17" s="36"/>
      <c r="O17" s="99">
        <f t="shared" si="13"/>
        <v>2.2000000000000006E-3</v>
      </c>
      <c r="P17" s="99">
        <f t="shared" si="2"/>
        <v>8.1600000000000006E-3</v>
      </c>
      <c r="Q17" s="7"/>
      <c r="R17" s="7"/>
      <c r="S17" s="7"/>
      <c r="T17" s="47">
        <f t="shared" ref="T17:T39" si="14">A17-0.2</f>
        <v>0.60000000000000009</v>
      </c>
      <c r="U17" s="162">
        <f t="shared" si="12"/>
        <v>1.4327999999999999</v>
      </c>
      <c r="X17" s="202" t="s">
        <v>22</v>
      </c>
      <c r="Y17" s="203">
        <v>5</v>
      </c>
    </row>
    <row r="18" spans="1:25" x14ac:dyDescent="0.25">
      <c r="A18" s="138">
        <f>IF(0.9&lt;H$48,"NA",0.9)</f>
        <v>0.9</v>
      </c>
      <c r="B18" s="126">
        <f t="shared" si="3"/>
        <v>53100</v>
      </c>
      <c r="C18" s="101">
        <f t="shared" si="4"/>
        <v>9.360000000000002E-3</v>
      </c>
      <c r="D18" s="102">
        <f t="shared" si="5"/>
        <v>0.49701600000000012</v>
      </c>
      <c r="E18" s="127">
        <f t="shared" si="6"/>
        <v>19.567559055118117</v>
      </c>
      <c r="F18" s="126">
        <f t="shared" si="7"/>
        <v>60000</v>
      </c>
      <c r="G18" s="101">
        <f t="shared" si="8"/>
        <v>1.0296000000000003E-2</v>
      </c>
      <c r="H18" s="102">
        <f t="shared" si="9"/>
        <v>0.6177600000000002</v>
      </c>
      <c r="I18" s="127">
        <f t="shared" si="10"/>
        <v>24.321259842519694</v>
      </c>
      <c r="J18" s="122">
        <f t="shared" si="0"/>
        <v>1.8</v>
      </c>
      <c r="K18" s="103">
        <f t="shared" si="1"/>
        <v>0.48600000000000004</v>
      </c>
      <c r="L18" s="96"/>
      <c r="M18" s="7"/>
      <c r="N18" s="36"/>
      <c r="O18" s="99">
        <f t="shared" si="13"/>
        <v>2.4000000000000007E-3</v>
      </c>
      <c r="P18" s="99">
        <f t="shared" si="2"/>
        <v>9.360000000000002E-3</v>
      </c>
      <c r="Q18" s="7"/>
      <c r="R18" s="7"/>
      <c r="S18" s="7"/>
      <c r="T18" s="159">
        <f t="shared" si="14"/>
        <v>0.7</v>
      </c>
      <c r="U18" s="164">
        <f t="shared" si="12"/>
        <v>1.4337</v>
      </c>
      <c r="X18" s="202" t="s">
        <v>23</v>
      </c>
      <c r="Y18" s="203">
        <v>6</v>
      </c>
    </row>
    <row r="19" spans="1:25" x14ac:dyDescent="0.25">
      <c r="A19" s="137">
        <f>IF(1&lt;H$48,"NA",1)</f>
        <v>1</v>
      </c>
      <c r="B19" s="128">
        <f t="shared" si="3"/>
        <v>47800</v>
      </c>
      <c r="C19" s="61">
        <f t="shared" si="4"/>
        <v>1.0600000000000002E-2</v>
      </c>
      <c r="D19" s="62">
        <f t="shared" si="5"/>
        <v>0.50668000000000002</v>
      </c>
      <c r="E19" s="16">
        <f t="shared" si="6"/>
        <v>19.948031496062992</v>
      </c>
      <c r="F19" s="128">
        <f t="shared" si="7"/>
        <v>57300</v>
      </c>
      <c r="G19" s="61">
        <f t="shared" si="8"/>
        <v>1.1660000000000004E-2</v>
      </c>
      <c r="H19" s="62">
        <f t="shared" si="9"/>
        <v>0.66811800000000021</v>
      </c>
      <c r="I19" s="16">
        <f t="shared" si="10"/>
        <v>26.303858267716542</v>
      </c>
      <c r="J19" s="123">
        <f t="shared" si="0"/>
        <v>2</v>
      </c>
      <c r="K19" s="104">
        <f t="shared" si="1"/>
        <v>0.54</v>
      </c>
      <c r="L19" s="44"/>
      <c r="M19" s="7"/>
      <c r="N19" s="36"/>
      <c r="O19" s="99">
        <f t="shared" si="13"/>
        <v>2.6000000000000007E-3</v>
      </c>
      <c r="P19" s="99">
        <f t="shared" si="2"/>
        <v>1.0600000000000002E-2</v>
      </c>
      <c r="Q19" s="7"/>
      <c r="R19" s="7"/>
      <c r="S19" s="7"/>
      <c r="T19" s="47">
        <f t="shared" si="14"/>
        <v>0.8</v>
      </c>
      <c r="U19" s="162">
        <f t="shared" si="12"/>
        <v>1.4339999999999999</v>
      </c>
      <c r="X19" s="204" t="s">
        <v>57</v>
      </c>
      <c r="Y19" s="203">
        <v>7</v>
      </c>
    </row>
    <row r="20" spans="1:25" x14ac:dyDescent="0.25">
      <c r="A20" s="138">
        <f>IF(1.1&lt;H$48,"NA",1.1)</f>
        <v>1.1000000000000001</v>
      </c>
      <c r="B20" s="126">
        <f t="shared" si="3"/>
        <v>43400</v>
      </c>
      <c r="C20" s="101">
        <f t="shared" si="4"/>
        <v>1.1880000000000002E-2</v>
      </c>
      <c r="D20" s="102">
        <f t="shared" si="5"/>
        <v>0.51559200000000005</v>
      </c>
      <c r="E20" s="127">
        <f t="shared" si="6"/>
        <v>20.298897637795282</v>
      </c>
      <c r="F20" s="126">
        <f t="shared" si="7"/>
        <v>52100</v>
      </c>
      <c r="G20" s="101">
        <f t="shared" si="8"/>
        <v>1.3068000000000003E-2</v>
      </c>
      <c r="H20" s="102">
        <f t="shared" si="9"/>
        <v>0.68084280000000008</v>
      </c>
      <c r="I20" s="127">
        <f t="shared" si="10"/>
        <v>26.804834645669299</v>
      </c>
      <c r="J20" s="122">
        <f t="shared" si="0"/>
        <v>2.2000000000000002</v>
      </c>
      <c r="K20" s="103">
        <f t="shared" si="1"/>
        <v>0.59400000000000008</v>
      </c>
      <c r="L20" s="96"/>
      <c r="M20" s="7"/>
      <c r="N20" s="36"/>
      <c r="O20" s="99">
        <f t="shared" si="13"/>
        <v>2.8000000000000008E-3</v>
      </c>
      <c r="P20" s="99">
        <f t="shared" si="2"/>
        <v>1.1880000000000002E-2</v>
      </c>
      <c r="Q20" s="7"/>
      <c r="R20" s="8"/>
      <c r="S20" s="7"/>
      <c r="T20" s="159">
        <f t="shared" si="14"/>
        <v>0.90000000000000013</v>
      </c>
      <c r="U20" s="164">
        <f t="shared" si="12"/>
        <v>1.4322000000000001</v>
      </c>
      <c r="X20" s="204"/>
      <c r="Y20" s="203">
        <v>8</v>
      </c>
    </row>
    <row r="21" spans="1:25" x14ac:dyDescent="0.25">
      <c r="A21" s="140">
        <f>IF(1.2&lt;H$48,"NA",1.2)</f>
        <v>1.2</v>
      </c>
      <c r="B21" s="128">
        <f t="shared" si="3"/>
        <v>39800</v>
      </c>
      <c r="C21" s="61">
        <f t="shared" si="4"/>
        <v>1.3200000000000002E-2</v>
      </c>
      <c r="D21" s="62">
        <f t="shared" si="5"/>
        <v>0.52536000000000005</v>
      </c>
      <c r="E21" s="16">
        <f t="shared" si="6"/>
        <v>20.683464566929135</v>
      </c>
      <c r="F21" s="128">
        <f t="shared" si="7"/>
        <v>47800</v>
      </c>
      <c r="G21" s="61">
        <f t="shared" si="8"/>
        <v>1.4520000000000003E-2</v>
      </c>
      <c r="H21" s="62">
        <f t="shared" si="9"/>
        <v>0.69405600000000012</v>
      </c>
      <c r="I21" s="16">
        <f t="shared" si="10"/>
        <v>27.325039370078748</v>
      </c>
      <c r="J21" s="123">
        <f t="shared" si="0"/>
        <v>2.4</v>
      </c>
      <c r="K21" s="104">
        <f t="shared" si="1"/>
        <v>0.64800000000000002</v>
      </c>
      <c r="L21" s="44"/>
      <c r="M21" s="7"/>
      <c r="N21" s="36"/>
      <c r="O21" s="99">
        <f t="shared" si="13"/>
        <v>3.0000000000000009E-3</v>
      </c>
      <c r="P21" s="99">
        <f t="shared" si="2"/>
        <v>1.3200000000000002E-2</v>
      </c>
      <c r="Q21" s="7"/>
      <c r="R21" s="8"/>
      <c r="S21" s="7"/>
      <c r="T21" s="47">
        <f t="shared" si="14"/>
        <v>1</v>
      </c>
      <c r="U21" s="162">
        <f t="shared" si="12"/>
        <v>1.4327999999999999</v>
      </c>
      <c r="X21" s="205"/>
      <c r="Y21" s="203">
        <v>9</v>
      </c>
    </row>
    <row r="22" spans="1:25" x14ac:dyDescent="0.25">
      <c r="A22" s="138">
        <f>IF(1.3&lt;H$48,"NA",1.3)</f>
        <v>1.3</v>
      </c>
      <c r="B22" s="126">
        <f t="shared" si="3"/>
        <v>36700</v>
      </c>
      <c r="C22" s="101">
        <f t="shared" si="4"/>
        <v>1.4560000000000002E-2</v>
      </c>
      <c r="D22" s="102">
        <f t="shared" si="5"/>
        <v>0.53435200000000005</v>
      </c>
      <c r="E22" s="127">
        <f t="shared" si="6"/>
        <v>21.037480314960636</v>
      </c>
      <c r="F22" s="126">
        <f t="shared" si="7"/>
        <v>44100</v>
      </c>
      <c r="G22" s="101">
        <f t="shared" si="8"/>
        <v>1.6016000000000002E-2</v>
      </c>
      <c r="H22" s="102">
        <f t="shared" si="9"/>
        <v>0.70630560000000009</v>
      </c>
      <c r="I22" s="127">
        <f t="shared" si="10"/>
        <v>27.80730708661418</v>
      </c>
      <c r="J22" s="122">
        <f t="shared" si="0"/>
        <v>2.6</v>
      </c>
      <c r="K22" s="103">
        <f t="shared" si="1"/>
        <v>0.70200000000000007</v>
      </c>
      <c r="L22" s="96"/>
      <c r="M22" s="7"/>
      <c r="N22" s="36"/>
      <c r="O22" s="99">
        <f t="shared" si="13"/>
        <v>3.200000000000001E-3</v>
      </c>
      <c r="P22" s="99">
        <f t="shared" si="2"/>
        <v>1.4560000000000002E-2</v>
      </c>
      <c r="Q22" s="7"/>
      <c r="R22" s="7"/>
      <c r="S22" s="7"/>
      <c r="T22" s="159">
        <f t="shared" si="14"/>
        <v>1.1000000000000001</v>
      </c>
      <c r="U22" s="164">
        <f t="shared" si="12"/>
        <v>1.4313</v>
      </c>
      <c r="X22" s="205"/>
      <c r="Y22" s="203">
        <v>10</v>
      </c>
    </row>
    <row r="23" spans="1:25" x14ac:dyDescent="0.25">
      <c r="A23" s="140">
        <f>IF(1.4&lt;H$48,"NA",1.4)</f>
        <v>1.4</v>
      </c>
      <c r="B23" s="128">
        <f t="shared" si="3"/>
        <v>34100</v>
      </c>
      <c r="C23" s="61">
        <f t="shared" si="4"/>
        <v>1.5959999999999998E-2</v>
      </c>
      <c r="D23" s="62">
        <f t="shared" si="5"/>
        <v>0.54423599999999994</v>
      </c>
      <c r="E23" s="16">
        <f t="shared" si="6"/>
        <v>21.426614173228348</v>
      </c>
      <c r="F23" s="128">
        <f t="shared" si="7"/>
        <v>40900</v>
      </c>
      <c r="G23" s="61">
        <f t="shared" si="8"/>
        <v>1.7555999999999999E-2</v>
      </c>
      <c r="H23" s="62">
        <f t="shared" si="9"/>
        <v>0.71804040000000002</v>
      </c>
      <c r="I23" s="16">
        <f t="shared" si="10"/>
        <v>28.269307086614173</v>
      </c>
      <c r="J23" s="123">
        <f t="shared" si="0"/>
        <v>2.8</v>
      </c>
      <c r="K23" s="104">
        <f t="shared" si="1"/>
        <v>0.75600000000000001</v>
      </c>
      <c r="L23" s="44"/>
      <c r="M23" s="7"/>
      <c r="N23" s="36"/>
      <c r="O23" s="99">
        <f t="shared" si="13"/>
        <v>3.4000000000000011E-3</v>
      </c>
      <c r="P23" s="99">
        <f t="shared" si="2"/>
        <v>1.5959999999999998E-2</v>
      </c>
      <c r="Q23" s="7"/>
      <c r="R23" s="7"/>
      <c r="S23" s="7"/>
      <c r="T23" s="47">
        <f t="shared" si="14"/>
        <v>1.2</v>
      </c>
      <c r="U23" s="162">
        <f t="shared" si="12"/>
        <v>1.4321999999999999</v>
      </c>
      <c r="X23" s="205"/>
      <c r="Y23" s="203">
        <v>11</v>
      </c>
    </row>
    <row r="24" spans="1:25" x14ac:dyDescent="0.25">
      <c r="A24" s="138">
        <f>IF(1.5&lt;H$48,"NA",1.5)</f>
        <v>1.5</v>
      </c>
      <c r="B24" s="126">
        <f t="shared" si="3"/>
        <v>31800</v>
      </c>
      <c r="C24" s="101">
        <f t="shared" si="4"/>
        <v>1.7625000000000002E-2</v>
      </c>
      <c r="D24" s="102">
        <f t="shared" si="5"/>
        <v>0.56047500000000006</v>
      </c>
      <c r="E24" s="127">
        <f t="shared" si="6"/>
        <v>22.065944881889767</v>
      </c>
      <c r="F24" s="126">
        <f t="shared" si="7"/>
        <v>38200</v>
      </c>
      <c r="G24" s="101">
        <f t="shared" si="8"/>
        <v>1.9387500000000002E-2</v>
      </c>
      <c r="H24" s="102">
        <f t="shared" si="9"/>
        <v>0.74060250000000005</v>
      </c>
      <c r="I24" s="127">
        <f t="shared" si="10"/>
        <v>29.157578740157486</v>
      </c>
      <c r="J24" s="122">
        <f t="shared" si="0"/>
        <v>3</v>
      </c>
      <c r="K24" s="103">
        <f t="shared" si="1"/>
        <v>0.81</v>
      </c>
      <c r="L24" s="96"/>
      <c r="M24" s="7"/>
      <c r="N24" s="36"/>
      <c r="O24" s="99">
        <f>O23+0.00035</f>
        <v>3.7500000000000012E-3</v>
      </c>
      <c r="P24" s="99">
        <f t="shared" si="2"/>
        <v>1.7625000000000002E-2</v>
      </c>
      <c r="Q24" s="7"/>
      <c r="R24" s="7"/>
      <c r="S24" s="7"/>
      <c r="T24" s="159">
        <f t="shared" si="14"/>
        <v>1.3</v>
      </c>
      <c r="U24" s="164">
        <f t="shared" si="12"/>
        <v>1.431</v>
      </c>
      <c r="X24" s="205"/>
      <c r="Y24" s="203">
        <v>12</v>
      </c>
    </row>
    <row r="25" spans="1:25" ht="16.5" thickBot="1" x14ac:dyDescent="0.3">
      <c r="A25" s="116">
        <v>1.6</v>
      </c>
      <c r="B25" s="128">
        <f t="shared" si="3"/>
        <v>29900</v>
      </c>
      <c r="C25" s="61">
        <f t="shared" si="4"/>
        <v>1.9360000000000002E-2</v>
      </c>
      <c r="D25" s="62">
        <f t="shared" si="5"/>
        <v>0.57886400000000005</v>
      </c>
      <c r="E25" s="16">
        <f t="shared" si="6"/>
        <v>22.789921259842522</v>
      </c>
      <c r="F25" s="128">
        <f t="shared" si="7"/>
        <v>35800</v>
      </c>
      <c r="G25" s="61">
        <f t="shared" si="8"/>
        <v>2.1296000000000002E-2</v>
      </c>
      <c r="H25" s="62">
        <f t="shared" si="9"/>
        <v>0.7623968000000001</v>
      </c>
      <c r="I25" s="16">
        <f t="shared" si="10"/>
        <v>30.015622047244101</v>
      </c>
      <c r="J25" s="123">
        <f t="shared" si="0"/>
        <v>3</v>
      </c>
      <c r="K25" s="104">
        <f t="shared" si="1"/>
        <v>0.8640000000000001</v>
      </c>
      <c r="L25" s="44"/>
      <c r="M25" s="7"/>
      <c r="N25" s="36"/>
      <c r="O25" s="99">
        <f t="shared" ref="O25:O39" si="15">O24+0.00035</f>
        <v>4.1000000000000012E-3</v>
      </c>
      <c r="P25" s="99">
        <f t="shared" si="2"/>
        <v>1.9360000000000002E-2</v>
      </c>
      <c r="Q25" s="7"/>
      <c r="R25" s="7"/>
      <c r="S25" s="7"/>
      <c r="T25" s="47">
        <f t="shared" si="14"/>
        <v>1.4000000000000001</v>
      </c>
      <c r="U25" s="162">
        <f t="shared" si="12"/>
        <v>1.4352</v>
      </c>
      <c r="X25" s="206"/>
      <c r="Y25" s="207">
        <v>13</v>
      </c>
    </row>
    <row r="26" spans="1:25" x14ac:dyDescent="0.25">
      <c r="A26" s="115">
        <v>1.7</v>
      </c>
      <c r="B26" s="126">
        <f t="shared" si="3"/>
        <v>28100</v>
      </c>
      <c r="C26" s="101">
        <f t="shared" si="4"/>
        <v>2.1165E-2</v>
      </c>
      <c r="D26" s="102">
        <f t="shared" si="5"/>
        <v>0.5947365</v>
      </c>
      <c r="E26" s="127">
        <f t="shared" si="6"/>
        <v>23.414822834645669</v>
      </c>
      <c r="F26" s="126">
        <f t="shared" si="7"/>
        <v>33700</v>
      </c>
      <c r="G26" s="101">
        <f t="shared" si="8"/>
        <v>2.32815E-2</v>
      </c>
      <c r="H26" s="102">
        <f t="shared" si="9"/>
        <v>0.78458654999999999</v>
      </c>
      <c r="I26" s="127">
        <f t="shared" si="10"/>
        <v>30.889234251968507</v>
      </c>
      <c r="J26" s="122">
        <f t="shared" si="0"/>
        <v>3</v>
      </c>
      <c r="K26" s="103">
        <f t="shared" si="1"/>
        <v>0.91800000000000004</v>
      </c>
      <c r="L26" s="96"/>
      <c r="M26" s="7"/>
      <c r="N26" s="36"/>
      <c r="O26" s="99">
        <f t="shared" si="15"/>
        <v>4.4500000000000008E-3</v>
      </c>
      <c r="P26" s="99">
        <f t="shared" si="2"/>
        <v>2.1165E-2</v>
      </c>
      <c r="Q26" s="7"/>
      <c r="R26" s="7"/>
      <c r="S26" s="7"/>
      <c r="T26" s="159">
        <f t="shared" si="14"/>
        <v>1.5</v>
      </c>
      <c r="U26" s="164">
        <f t="shared" si="12"/>
        <v>1.4330999999999998</v>
      </c>
      <c r="X26"/>
    </row>
    <row r="27" spans="1:25" x14ac:dyDescent="0.25">
      <c r="A27" s="116">
        <v>1.8</v>
      </c>
      <c r="B27" s="128">
        <f t="shared" si="3"/>
        <v>26500</v>
      </c>
      <c r="C27" s="61">
        <f t="shared" si="4"/>
        <v>2.3040000000000001E-2</v>
      </c>
      <c r="D27" s="62">
        <f t="shared" si="5"/>
        <v>0.6105600000000001</v>
      </c>
      <c r="E27" s="16">
        <f t="shared" si="6"/>
        <v>24.037795275590554</v>
      </c>
      <c r="F27" s="128">
        <f t="shared" si="7"/>
        <v>31800</v>
      </c>
      <c r="G27" s="61">
        <f t="shared" si="8"/>
        <v>2.5344000000000002E-2</v>
      </c>
      <c r="H27" s="62">
        <f t="shared" si="9"/>
        <v>0.80593920000000008</v>
      </c>
      <c r="I27" s="16">
        <f t="shared" si="10"/>
        <v>31.729889763779532</v>
      </c>
      <c r="J27" s="123">
        <f t="shared" si="0"/>
        <v>3</v>
      </c>
      <c r="K27" s="104">
        <f t="shared" si="1"/>
        <v>0.97200000000000009</v>
      </c>
      <c r="L27" s="44"/>
      <c r="M27" s="7"/>
      <c r="N27" s="36"/>
      <c r="O27" s="99">
        <f t="shared" si="15"/>
        <v>4.8000000000000004E-3</v>
      </c>
      <c r="P27" s="99">
        <f t="shared" si="2"/>
        <v>2.3040000000000001E-2</v>
      </c>
      <c r="Q27" s="7"/>
      <c r="R27" s="7"/>
      <c r="S27" s="7"/>
      <c r="T27" s="47">
        <f t="shared" si="14"/>
        <v>1.6</v>
      </c>
      <c r="U27" s="162">
        <f t="shared" si="12"/>
        <v>1.431</v>
      </c>
      <c r="X27"/>
    </row>
    <row r="28" spans="1:25" x14ac:dyDescent="0.25">
      <c r="A28" s="115">
        <v>1.9</v>
      </c>
      <c r="B28" s="126">
        <f t="shared" si="3"/>
        <v>25100</v>
      </c>
      <c r="C28" s="101">
        <f t="shared" si="4"/>
        <v>2.4985E-2</v>
      </c>
      <c r="D28" s="102">
        <f t="shared" si="5"/>
        <v>0.62712350000000006</v>
      </c>
      <c r="E28" s="127">
        <f t="shared" si="6"/>
        <v>24.689901574803152</v>
      </c>
      <c r="F28" s="126">
        <f t="shared" si="7"/>
        <v>30200</v>
      </c>
      <c r="G28" s="101">
        <f t="shared" si="8"/>
        <v>2.7483500000000001E-2</v>
      </c>
      <c r="H28" s="102">
        <f t="shared" si="9"/>
        <v>0.83000170000000006</v>
      </c>
      <c r="I28" s="127">
        <f t="shared" si="10"/>
        <v>32.677232283464569</v>
      </c>
      <c r="J28" s="122">
        <f t="shared" si="0"/>
        <v>3</v>
      </c>
      <c r="K28" s="103">
        <f t="shared" si="1"/>
        <v>1</v>
      </c>
      <c r="L28" s="96"/>
      <c r="M28" s="7"/>
      <c r="N28" s="36"/>
      <c r="O28" s="99">
        <f t="shared" si="15"/>
        <v>5.1500000000000001E-3</v>
      </c>
      <c r="P28" s="99">
        <f t="shared" si="2"/>
        <v>2.4985E-2</v>
      </c>
      <c r="Q28" s="7"/>
      <c r="R28" s="7"/>
      <c r="S28" s="7"/>
      <c r="T28" s="159">
        <f t="shared" si="14"/>
        <v>1.7</v>
      </c>
      <c r="U28" s="164">
        <f t="shared" si="12"/>
        <v>1.4306999999999999</v>
      </c>
      <c r="X28"/>
    </row>
    <row r="29" spans="1:25" x14ac:dyDescent="0.25">
      <c r="A29" s="116">
        <v>2</v>
      </c>
      <c r="B29" s="128">
        <f t="shared" si="3"/>
        <v>23900</v>
      </c>
      <c r="C29" s="61">
        <f t="shared" si="4"/>
        <v>2.7E-2</v>
      </c>
      <c r="D29" s="62">
        <f t="shared" si="5"/>
        <v>0.64529999999999998</v>
      </c>
      <c r="E29" s="16">
        <f t="shared" si="6"/>
        <v>25.405511811023622</v>
      </c>
      <c r="F29" s="128">
        <f t="shared" si="7"/>
        <v>28700</v>
      </c>
      <c r="G29" s="61">
        <f t="shared" si="8"/>
        <v>2.9700000000000001E-2</v>
      </c>
      <c r="H29" s="62">
        <f t="shared" si="9"/>
        <v>0.85238999999999998</v>
      </c>
      <c r="I29" s="16">
        <f t="shared" si="10"/>
        <v>33.558661417322838</v>
      </c>
      <c r="J29" s="123">
        <f t="shared" si="0"/>
        <v>3</v>
      </c>
      <c r="K29" s="104">
        <f t="shared" si="1"/>
        <v>1</v>
      </c>
      <c r="L29" s="44"/>
      <c r="M29" s="7"/>
      <c r="N29" s="36"/>
      <c r="O29" s="99">
        <f t="shared" si="15"/>
        <v>5.4999999999999997E-3</v>
      </c>
      <c r="P29" s="99">
        <f t="shared" si="2"/>
        <v>2.7E-2</v>
      </c>
      <c r="Q29" s="7"/>
      <c r="R29" s="7"/>
      <c r="S29" s="7"/>
      <c r="T29" s="47">
        <f t="shared" si="14"/>
        <v>1.8</v>
      </c>
      <c r="U29" s="162">
        <f t="shared" si="12"/>
        <v>1.4339999999999999</v>
      </c>
      <c r="X29"/>
    </row>
    <row r="30" spans="1:25" x14ac:dyDescent="0.25">
      <c r="A30" s="115">
        <v>2.1</v>
      </c>
      <c r="B30" s="126">
        <f t="shared" si="3"/>
        <v>22700</v>
      </c>
      <c r="C30" s="101">
        <f t="shared" si="4"/>
        <v>2.9085E-2</v>
      </c>
      <c r="D30" s="102">
        <f t="shared" si="5"/>
        <v>0.66022950000000002</v>
      </c>
      <c r="E30" s="127">
        <f t="shared" si="6"/>
        <v>25.993287401574804</v>
      </c>
      <c r="F30" s="126">
        <f t="shared" si="7"/>
        <v>27300</v>
      </c>
      <c r="G30" s="101">
        <f t="shared" si="8"/>
        <v>3.1993500000000001E-2</v>
      </c>
      <c r="H30" s="102">
        <f t="shared" si="9"/>
        <v>0.87342255000000002</v>
      </c>
      <c r="I30" s="127">
        <f t="shared" si="10"/>
        <v>34.386714566929136</v>
      </c>
      <c r="J30" s="122">
        <f t="shared" si="0"/>
        <v>3</v>
      </c>
      <c r="K30" s="103">
        <f t="shared" si="1"/>
        <v>1</v>
      </c>
      <c r="L30" s="96"/>
      <c r="M30" s="7"/>
      <c r="N30" s="36"/>
      <c r="O30" s="99">
        <f t="shared" si="15"/>
        <v>5.8499999999999993E-3</v>
      </c>
      <c r="P30" s="99">
        <f t="shared" si="2"/>
        <v>2.9085E-2</v>
      </c>
      <c r="Q30" s="7"/>
      <c r="R30" s="7"/>
      <c r="S30" s="7"/>
      <c r="T30" s="159">
        <f t="shared" si="14"/>
        <v>1.9000000000000001</v>
      </c>
      <c r="U30" s="164">
        <f t="shared" si="12"/>
        <v>1.4300999999999999</v>
      </c>
      <c r="X30"/>
    </row>
    <row r="31" spans="1:25" x14ac:dyDescent="0.25">
      <c r="A31" s="116">
        <v>2.2000000000000002</v>
      </c>
      <c r="B31" s="128">
        <f t="shared" si="3"/>
        <v>21700</v>
      </c>
      <c r="C31" s="61">
        <f t="shared" si="4"/>
        <v>3.124E-2</v>
      </c>
      <c r="D31" s="62">
        <f t="shared" si="5"/>
        <v>0.67790800000000007</v>
      </c>
      <c r="E31" s="16">
        <f t="shared" si="6"/>
        <v>26.689291338582681</v>
      </c>
      <c r="F31" s="128">
        <f t="shared" si="7"/>
        <v>26100</v>
      </c>
      <c r="G31" s="61">
        <f t="shared" si="8"/>
        <v>3.4364000000000006E-2</v>
      </c>
      <c r="H31" s="62">
        <f t="shared" si="9"/>
        <v>0.89690040000000015</v>
      </c>
      <c r="I31" s="16">
        <f t="shared" si="10"/>
        <v>35.311039370078745</v>
      </c>
      <c r="J31" s="123">
        <f t="shared" si="0"/>
        <v>3</v>
      </c>
      <c r="K31" s="104">
        <f t="shared" si="1"/>
        <v>1</v>
      </c>
      <c r="L31" s="44"/>
      <c r="M31" s="7"/>
      <c r="N31" s="36"/>
      <c r="O31" s="99">
        <f t="shared" si="15"/>
        <v>6.1999999999999989E-3</v>
      </c>
      <c r="P31" s="99">
        <f t="shared" si="2"/>
        <v>3.124E-2</v>
      </c>
      <c r="Q31" s="7"/>
      <c r="R31" s="7"/>
      <c r="S31" s="7"/>
      <c r="T31" s="47">
        <f t="shared" si="14"/>
        <v>2</v>
      </c>
      <c r="U31" s="162">
        <f t="shared" si="12"/>
        <v>1.4322000000000001</v>
      </c>
      <c r="X31"/>
    </row>
    <row r="32" spans="1:25" x14ac:dyDescent="0.25">
      <c r="A32" s="115">
        <v>2.2999999999999998</v>
      </c>
      <c r="B32" s="126">
        <f t="shared" si="3"/>
        <v>20800</v>
      </c>
      <c r="C32" s="101">
        <f t="shared" si="4"/>
        <v>3.3464999999999995E-2</v>
      </c>
      <c r="D32" s="102">
        <f t="shared" si="5"/>
        <v>0.69607199999999991</v>
      </c>
      <c r="E32" s="127">
        <f t="shared" si="6"/>
        <v>27.404409448818896</v>
      </c>
      <c r="F32" s="126">
        <f t="shared" si="7"/>
        <v>24900</v>
      </c>
      <c r="G32" s="101">
        <f t="shared" si="8"/>
        <v>3.6811499999999997E-2</v>
      </c>
      <c r="H32" s="102">
        <f t="shared" si="9"/>
        <v>0.9166063499999999</v>
      </c>
      <c r="I32" s="127">
        <f t="shared" si="10"/>
        <v>36.086864173228342</v>
      </c>
      <c r="J32" s="122">
        <f t="shared" si="0"/>
        <v>3</v>
      </c>
      <c r="K32" s="103">
        <f t="shared" si="1"/>
        <v>1</v>
      </c>
      <c r="L32" s="96"/>
      <c r="M32" s="7"/>
      <c r="N32" s="36"/>
      <c r="O32" s="99">
        <f t="shared" si="15"/>
        <v>6.5499999999999985E-3</v>
      </c>
      <c r="P32" s="99">
        <f t="shared" si="2"/>
        <v>3.3464999999999995E-2</v>
      </c>
      <c r="Q32" s="7"/>
      <c r="R32" s="7"/>
      <c r="S32" s="7"/>
      <c r="T32" s="159">
        <f t="shared" si="14"/>
        <v>2.0999999999999996</v>
      </c>
      <c r="U32" s="164">
        <f t="shared" si="12"/>
        <v>1.4351999999999998</v>
      </c>
      <c r="X32"/>
    </row>
    <row r="33" spans="1:24" x14ac:dyDescent="0.25">
      <c r="A33" s="116">
        <v>2.4</v>
      </c>
      <c r="B33" s="128">
        <f t="shared" si="3"/>
        <v>19900</v>
      </c>
      <c r="C33" s="61">
        <f t="shared" si="4"/>
        <v>3.5759999999999993E-2</v>
      </c>
      <c r="D33" s="62">
        <f t="shared" si="5"/>
        <v>0.71162399999999992</v>
      </c>
      <c r="E33" s="16">
        <f t="shared" si="6"/>
        <v>28.016692913385825</v>
      </c>
      <c r="F33" s="128">
        <f t="shared" si="7"/>
        <v>23900</v>
      </c>
      <c r="G33" s="61">
        <f t="shared" si="8"/>
        <v>3.9335999999999996E-2</v>
      </c>
      <c r="H33" s="62">
        <f t="shared" si="9"/>
        <v>0.94013039999999992</v>
      </c>
      <c r="I33" s="16">
        <f t="shared" si="10"/>
        <v>37.013007874015749</v>
      </c>
      <c r="J33" s="123">
        <f t="shared" si="0"/>
        <v>3</v>
      </c>
      <c r="K33" s="104">
        <f t="shared" si="1"/>
        <v>1</v>
      </c>
      <c r="L33" s="44"/>
      <c r="M33" s="7"/>
      <c r="N33" s="36"/>
      <c r="O33" s="99">
        <f t="shared" si="15"/>
        <v>6.8999999999999981E-3</v>
      </c>
      <c r="P33" s="99">
        <f t="shared" si="2"/>
        <v>3.5759999999999993E-2</v>
      </c>
      <c r="Q33" s="7"/>
      <c r="R33" s="7"/>
      <c r="S33" s="7"/>
      <c r="T33" s="47">
        <f t="shared" si="14"/>
        <v>2.1999999999999997</v>
      </c>
      <c r="U33" s="162">
        <f t="shared" si="12"/>
        <v>1.4327999999999999</v>
      </c>
    </row>
    <row r="34" spans="1:24" x14ac:dyDescent="0.25">
      <c r="A34" s="115">
        <v>2.5</v>
      </c>
      <c r="B34" s="126">
        <f t="shared" si="3"/>
        <v>19100</v>
      </c>
      <c r="C34" s="101">
        <f t="shared" si="4"/>
        <v>3.8124999999999992E-2</v>
      </c>
      <c r="D34" s="102">
        <f t="shared" si="5"/>
        <v>0.72818749999999988</v>
      </c>
      <c r="E34" s="127">
        <f t="shared" si="6"/>
        <v>28.668799212598422</v>
      </c>
      <c r="F34" s="126">
        <f t="shared" si="7"/>
        <v>22900</v>
      </c>
      <c r="G34" s="101">
        <f t="shared" si="8"/>
        <v>4.1937499999999996E-2</v>
      </c>
      <c r="H34" s="102">
        <f t="shared" si="9"/>
        <v>0.96036874999999988</v>
      </c>
      <c r="I34" s="127">
        <f t="shared" si="10"/>
        <v>37.809793307086608</v>
      </c>
      <c r="J34" s="122">
        <f t="shared" si="0"/>
        <v>3</v>
      </c>
      <c r="K34" s="103">
        <f t="shared" si="1"/>
        <v>1</v>
      </c>
      <c r="L34" s="96"/>
      <c r="M34" s="7"/>
      <c r="N34" s="36"/>
      <c r="O34" s="99">
        <f t="shared" si="15"/>
        <v>7.2499999999999978E-3</v>
      </c>
      <c r="P34" s="99">
        <f t="shared" si="2"/>
        <v>3.8124999999999992E-2</v>
      </c>
      <c r="Q34" s="7"/>
      <c r="R34" s="7"/>
      <c r="S34" s="7"/>
      <c r="T34" s="159">
        <f t="shared" si="14"/>
        <v>2.2999999999999998</v>
      </c>
      <c r="U34" s="164">
        <f t="shared" si="12"/>
        <v>1.4325000000000001</v>
      </c>
    </row>
    <row r="35" spans="1:24" x14ac:dyDescent="0.25">
      <c r="A35" s="116">
        <v>2.6</v>
      </c>
      <c r="B35" s="128">
        <f t="shared" si="3"/>
        <v>18400</v>
      </c>
      <c r="C35" s="61">
        <f t="shared" si="4"/>
        <v>4.0559999999999992E-2</v>
      </c>
      <c r="D35" s="62">
        <f t="shared" si="5"/>
        <v>0.74630399999999986</v>
      </c>
      <c r="E35" s="16">
        <f t="shared" si="6"/>
        <v>29.382047244094483</v>
      </c>
      <c r="F35" s="128">
        <f t="shared" si="7"/>
        <v>22000</v>
      </c>
      <c r="G35" s="61">
        <f t="shared" si="8"/>
        <v>4.4615999999999996E-2</v>
      </c>
      <c r="H35" s="62">
        <f t="shared" si="9"/>
        <v>0.98155199999999987</v>
      </c>
      <c r="I35" s="16">
        <f t="shared" si="10"/>
        <v>38.643779527559055</v>
      </c>
      <c r="J35" s="123">
        <f t="shared" si="0"/>
        <v>3</v>
      </c>
      <c r="K35" s="104">
        <f t="shared" si="1"/>
        <v>1</v>
      </c>
      <c r="L35" s="44"/>
      <c r="M35" s="7"/>
      <c r="N35" s="36"/>
      <c r="O35" s="99">
        <f t="shared" si="15"/>
        <v>7.5999999999999974E-3</v>
      </c>
      <c r="P35" s="99">
        <f t="shared" si="2"/>
        <v>4.0559999999999992E-2</v>
      </c>
      <c r="Q35" s="7"/>
      <c r="R35" s="7"/>
      <c r="S35" s="7"/>
      <c r="T35" s="47">
        <f t="shared" si="14"/>
        <v>2.4</v>
      </c>
      <c r="U35" s="162">
        <f t="shared" si="12"/>
        <v>1.4352</v>
      </c>
    </row>
    <row r="36" spans="1:24" x14ac:dyDescent="0.25">
      <c r="A36" s="115">
        <v>2.7</v>
      </c>
      <c r="B36" s="126">
        <f t="shared" si="3"/>
        <v>17700</v>
      </c>
      <c r="C36" s="101">
        <f t="shared" si="4"/>
        <v>4.3064999999999999E-2</v>
      </c>
      <c r="D36" s="102">
        <f t="shared" si="5"/>
        <v>0.76225049999999994</v>
      </c>
      <c r="E36" s="127">
        <f t="shared" si="6"/>
        <v>30.00986220472441</v>
      </c>
      <c r="F36" s="126">
        <f t="shared" si="7"/>
        <v>21200</v>
      </c>
      <c r="G36" s="101">
        <f t="shared" si="8"/>
        <v>4.7371500000000004E-2</v>
      </c>
      <c r="H36" s="102">
        <f t="shared" si="9"/>
        <v>1.0042758000000001</v>
      </c>
      <c r="I36" s="127">
        <f t="shared" si="10"/>
        <v>39.538417322834647</v>
      </c>
      <c r="J36" s="122">
        <f t="shared" si="0"/>
        <v>3</v>
      </c>
      <c r="K36" s="103">
        <f t="shared" si="1"/>
        <v>1</v>
      </c>
      <c r="L36" s="96"/>
      <c r="M36" s="7"/>
      <c r="N36" s="36"/>
      <c r="O36" s="99">
        <f t="shared" si="15"/>
        <v>7.949999999999997E-3</v>
      </c>
      <c r="P36" s="99">
        <f t="shared" si="2"/>
        <v>4.3064999999999999E-2</v>
      </c>
      <c r="Q36" s="7"/>
      <c r="R36" s="7"/>
      <c r="S36" s="7"/>
      <c r="T36" s="159">
        <f t="shared" si="14"/>
        <v>2.5</v>
      </c>
      <c r="U36" s="164">
        <f t="shared" si="12"/>
        <v>1.4337</v>
      </c>
    </row>
    <row r="37" spans="1:24" x14ac:dyDescent="0.25">
      <c r="A37" s="116">
        <v>2.8</v>
      </c>
      <c r="B37" s="128">
        <f t="shared" si="3"/>
        <v>17100</v>
      </c>
      <c r="C37" s="61">
        <f t="shared" si="4"/>
        <v>4.5639999999999986E-2</v>
      </c>
      <c r="D37" s="62">
        <f t="shared" si="5"/>
        <v>0.78044399999999969</v>
      </c>
      <c r="E37" s="16">
        <f t="shared" si="6"/>
        <v>30.726141732283455</v>
      </c>
      <c r="F37" s="128">
        <f t="shared" si="7"/>
        <v>20500</v>
      </c>
      <c r="G37" s="61">
        <f t="shared" si="8"/>
        <v>5.0203999999999992E-2</v>
      </c>
      <c r="H37" s="62">
        <f t="shared" si="9"/>
        <v>1.0291819999999998</v>
      </c>
      <c r="I37" s="16">
        <f t="shared" si="10"/>
        <v>40.518976377952747</v>
      </c>
      <c r="J37" s="123">
        <f t="shared" si="0"/>
        <v>3</v>
      </c>
      <c r="K37" s="104">
        <f t="shared" si="1"/>
        <v>1</v>
      </c>
      <c r="L37" s="44"/>
      <c r="M37" s="7"/>
      <c r="N37" s="36"/>
      <c r="O37" s="99">
        <f t="shared" si="15"/>
        <v>8.2999999999999966E-3</v>
      </c>
      <c r="P37" s="99">
        <f t="shared" si="2"/>
        <v>4.5639999999999986E-2</v>
      </c>
      <c r="Q37" s="7"/>
      <c r="R37" s="7"/>
      <c r="S37" s="7"/>
      <c r="T37" s="47">
        <f t="shared" si="14"/>
        <v>2.5999999999999996</v>
      </c>
      <c r="U37" s="162">
        <f t="shared" si="12"/>
        <v>1.4363999999999999</v>
      </c>
    </row>
    <row r="38" spans="1:24" x14ac:dyDescent="0.25">
      <c r="A38" s="115">
        <v>2.9</v>
      </c>
      <c r="B38" s="126">
        <f t="shared" si="3"/>
        <v>16500</v>
      </c>
      <c r="C38" s="101">
        <f t="shared" si="4"/>
        <v>4.8284999999999995E-2</v>
      </c>
      <c r="D38" s="102">
        <f t="shared" si="5"/>
        <v>0.79670249999999987</v>
      </c>
      <c r="E38" s="127">
        <f t="shared" si="6"/>
        <v>31.366240157480313</v>
      </c>
      <c r="F38" s="126">
        <f t="shared" si="7"/>
        <v>19800</v>
      </c>
      <c r="G38" s="101">
        <f t="shared" si="8"/>
        <v>5.3113500000000001E-2</v>
      </c>
      <c r="H38" s="102">
        <f t="shared" si="9"/>
        <v>1.0516473000000002</v>
      </c>
      <c r="I38" s="127">
        <f t="shared" si="10"/>
        <v>41.403437007874018</v>
      </c>
      <c r="J38" s="122">
        <f t="shared" si="0"/>
        <v>3</v>
      </c>
      <c r="K38" s="103">
        <f t="shared" si="1"/>
        <v>1</v>
      </c>
      <c r="L38" s="96"/>
      <c r="M38" s="7"/>
      <c r="N38" s="36"/>
      <c r="O38" s="99">
        <f t="shared" si="15"/>
        <v>8.6499999999999962E-3</v>
      </c>
      <c r="P38" s="99">
        <f t="shared" si="2"/>
        <v>4.8284999999999995E-2</v>
      </c>
      <c r="Q38" s="7"/>
      <c r="R38" s="7"/>
      <c r="S38" s="7"/>
      <c r="T38" s="159">
        <f t="shared" si="14"/>
        <v>2.6999999999999997</v>
      </c>
      <c r="U38" s="164">
        <f t="shared" si="12"/>
        <v>1.4355</v>
      </c>
    </row>
    <row r="39" spans="1:24" ht="16.5" thickBot="1" x14ac:dyDescent="0.3">
      <c r="A39" s="117">
        <v>3</v>
      </c>
      <c r="B39" s="129">
        <f t="shared" si="3"/>
        <v>15900</v>
      </c>
      <c r="C39" s="130">
        <f t="shared" si="4"/>
        <v>5.0999999999999983E-2</v>
      </c>
      <c r="D39" s="131">
        <f t="shared" si="5"/>
        <v>0.81089999999999973</v>
      </c>
      <c r="E39" s="17">
        <f t="shared" si="6"/>
        <v>31.925196850393693</v>
      </c>
      <c r="F39" s="129">
        <f t="shared" si="7"/>
        <v>19100</v>
      </c>
      <c r="G39" s="130">
        <f t="shared" si="8"/>
        <v>5.6099999999999983E-2</v>
      </c>
      <c r="H39" s="131">
        <f t="shared" si="9"/>
        <v>1.0715099999999997</v>
      </c>
      <c r="I39" s="17">
        <f t="shared" si="10"/>
        <v>42.185433070866132</v>
      </c>
      <c r="J39" s="123">
        <f t="shared" si="0"/>
        <v>3</v>
      </c>
      <c r="K39" s="104">
        <f t="shared" si="1"/>
        <v>1</v>
      </c>
      <c r="L39" s="45"/>
      <c r="M39" s="7"/>
      <c r="N39" s="36"/>
      <c r="O39" s="99">
        <f t="shared" si="15"/>
        <v>8.9999999999999959E-3</v>
      </c>
      <c r="P39" s="99">
        <f t="shared" si="2"/>
        <v>5.0999999999999983E-2</v>
      </c>
      <c r="Q39" s="7"/>
      <c r="R39" s="7"/>
      <c r="S39" s="7"/>
      <c r="T39" s="47">
        <f t="shared" si="14"/>
        <v>2.8</v>
      </c>
      <c r="U39" s="162">
        <f t="shared" si="12"/>
        <v>1.431</v>
      </c>
    </row>
    <row r="40" spans="1:24" x14ac:dyDescent="0.25">
      <c r="A40" s="7"/>
      <c r="B40" s="7"/>
      <c r="C40" s="7"/>
      <c r="D40" s="9"/>
      <c r="E40" s="9"/>
      <c r="F40" s="9"/>
      <c r="G40" s="8"/>
      <c r="H40" s="9"/>
      <c r="I40" s="7"/>
      <c r="J40" s="18"/>
      <c r="K40" s="28" t="s">
        <v>44</v>
      </c>
      <c r="L40" s="7"/>
      <c r="M40" s="7"/>
      <c r="N40" s="7"/>
      <c r="O40" s="34"/>
      <c r="P40" s="34"/>
      <c r="Q40" s="7"/>
      <c r="R40" s="7"/>
      <c r="S40" s="7"/>
      <c r="T40" s="7"/>
      <c r="U40" s="7"/>
    </row>
    <row r="41" spans="1:24" x14ac:dyDescent="0.25">
      <c r="A41" s="7"/>
      <c r="B41" s="7"/>
      <c r="C41" s="7"/>
      <c r="D41" s="20"/>
      <c r="E41" s="20"/>
      <c r="F41" s="9"/>
      <c r="G41" s="8"/>
      <c r="H41" s="8"/>
      <c r="I41" s="8"/>
      <c r="J41" s="8"/>
      <c r="K41" s="8"/>
      <c r="L41" s="7"/>
      <c r="M41" s="32"/>
      <c r="N41" s="32"/>
      <c r="O41" s="33"/>
      <c r="P41" s="34"/>
      <c r="Q41" s="7"/>
      <c r="R41" s="7"/>
      <c r="S41" s="7"/>
      <c r="T41" s="7"/>
      <c r="U41" s="7"/>
    </row>
    <row r="42" spans="1:24" x14ac:dyDescent="0.25">
      <c r="A42" s="8"/>
      <c r="B42" s="19"/>
      <c r="C42" s="20"/>
      <c r="D42" s="20"/>
      <c r="E42" s="20"/>
      <c r="F42" s="9"/>
      <c r="G42" s="8"/>
      <c r="H42" s="8"/>
      <c r="I42" s="8"/>
      <c r="J42" s="7"/>
      <c r="K42" s="7"/>
      <c r="L42" s="1"/>
      <c r="M42" s="1"/>
      <c r="N42" s="1"/>
      <c r="O42" s="1"/>
      <c r="P42" s="1"/>
      <c r="Q42" s="1"/>
      <c r="R42" s="7"/>
      <c r="S42" s="7"/>
      <c r="T42" s="7"/>
      <c r="U42" s="7"/>
    </row>
    <row r="43" spans="1:24" ht="25.5" x14ac:dyDescent="0.35">
      <c r="I43" s="40"/>
      <c r="J43" s="7"/>
      <c r="K43" s="1"/>
      <c r="L43" s="1"/>
      <c r="M43" s="1"/>
      <c r="N43" s="1"/>
      <c r="O43" s="1"/>
      <c r="P43" s="1"/>
      <c r="Q43" s="1"/>
      <c r="R43" s="40"/>
      <c r="S43" s="41"/>
      <c r="T43" s="41"/>
      <c r="U43" s="41"/>
    </row>
    <row r="44" spans="1:24" ht="25.5" x14ac:dyDescent="0.35">
      <c r="A44" s="256" t="s">
        <v>15</v>
      </c>
      <c r="B44" s="257"/>
      <c r="C44" s="258" t="s">
        <v>16</v>
      </c>
      <c r="D44" s="259"/>
      <c r="E44" s="259"/>
      <c r="F44" s="260"/>
      <c r="G44" s="39"/>
      <c r="H44" s="40"/>
      <c r="I44" s="1"/>
      <c r="J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4" ht="16.5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4" ht="16.5" thickBot="1" x14ac:dyDescent="0.3">
      <c r="A46" s="261" t="s">
        <v>0</v>
      </c>
      <c r="B46" s="262"/>
      <c r="C46" s="154" t="s">
        <v>17</v>
      </c>
      <c r="D46" s="155" t="s">
        <v>18</v>
      </c>
      <c r="E46" s="155" t="s">
        <v>19</v>
      </c>
      <c r="F46" s="156" t="s">
        <v>11</v>
      </c>
      <c r="G46" s="157" t="s">
        <v>27</v>
      </c>
      <c r="H46" s="158" t="s">
        <v>34</v>
      </c>
      <c r="I46" s="265" t="s">
        <v>2</v>
      </c>
      <c r="J46" s="266"/>
      <c r="K46" s="266"/>
      <c r="L46" s="267"/>
      <c r="M46" s="1"/>
      <c r="N46" s="1"/>
      <c r="O46" s="1"/>
      <c r="P46" s="1"/>
      <c r="Q46" s="1"/>
      <c r="R46" s="1"/>
      <c r="S46" s="1"/>
      <c r="T46" s="1"/>
      <c r="U46" s="1"/>
    </row>
    <row r="47" spans="1:24" s="64" customFormat="1" ht="16.5" thickBot="1" x14ac:dyDescent="0.3">
      <c r="A47" s="5"/>
      <c r="B47" s="1"/>
      <c r="C47" s="150" t="s">
        <v>5</v>
      </c>
      <c r="D47" s="150" t="s">
        <v>5</v>
      </c>
      <c r="E47" s="150" t="s">
        <v>14</v>
      </c>
      <c r="F47" s="151" t="s">
        <v>3</v>
      </c>
      <c r="G47" s="152" t="s">
        <v>14</v>
      </c>
      <c r="H47" s="153" t="s">
        <v>35</v>
      </c>
      <c r="I47" s="261"/>
      <c r="J47" s="262"/>
      <c r="M47" s="68"/>
      <c r="N47" s="68"/>
      <c r="O47" s="68"/>
      <c r="P47" s="68"/>
      <c r="Q47" s="68"/>
      <c r="R47" s="68"/>
      <c r="S47" s="68"/>
      <c r="T47" s="68"/>
      <c r="U47" s="68"/>
      <c r="X47" s="108"/>
    </row>
    <row r="48" spans="1:24" s="81" customFormat="1" ht="17.25" thickTop="1" thickBot="1" x14ac:dyDescent="0.3">
      <c r="A48" s="263" t="str">
        <f>B2</f>
        <v>high TG, BT, Halogenfrei, Polyimid starr</v>
      </c>
      <c r="B48" s="264"/>
      <c r="C48" s="80">
        <f t="shared" ref="C48:L48" si="16">IF($B$2=$A50,C50)+IF($B$2=$A51,C51)+IF($B$2=$A52,C52)+IF($B$2=$A53,C53)+IF($B$2=$A54,C54)+IF($B$2=$A55,C55)+IF($B$2=$A56,C56)+IF($B$2=$A57,C57)+IF($B$2=$A58,C58)+IF($B$2=$A59,C59)+IF($B$2=$A60,C60)+IF($B$2=$A61,C61)+IF($B$2=$A62,C62)</f>
        <v>150</v>
      </c>
      <c r="D48" s="80">
        <f t="shared" si="16"/>
        <v>180</v>
      </c>
      <c r="E48" s="80">
        <f t="shared" si="16"/>
        <v>0.8</v>
      </c>
      <c r="F48" s="80">
        <f t="shared" si="16"/>
        <v>3</v>
      </c>
      <c r="G48" s="80">
        <f t="shared" si="16"/>
        <v>2</v>
      </c>
      <c r="H48" s="146">
        <f t="shared" si="16"/>
        <v>0.5</v>
      </c>
      <c r="I48" s="147"/>
      <c r="J48" s="148"/>
      <c r="K48" s="148"/>
      <c r="L48" s="149">
        <f t="shared" si="16"/>
        <v>2</v>
      </c>
      <c r="M48" s="95"/>
      <c r="N48" s="95"/>
      <c r="O48" s="95"/>
      <c r="P48" s="95"/>
      <c r="Q48" s="95"/>
      <c r="R48" s="95"/>
      <c r="S48" s="95"/>
      <c r="T48" s="95"/>
      <c r="U48" s="95"/>
      <c r="V48" s="95"/>
      <c r="X48" s="108"/>
    </row>
    <row r="49" spans="1:21" customFormat="1" ht="17.25" thickTop="1" thickBot="1" x14ac:dyDescent="0.3">
      <c r="A49" s="64"/>
      <c r="B49" s="26"/>
      <c r="C49" s="26"/>
      <c r="D49" s="26"/>
      <c r="E49" s="65" t="s">
        <v>5</v>
      </c>
      <c r="F49" s="26"/>
      <c r="G49" s="98"/>
      <c r="H49" s="136"/>
      <c r="I49" s="1"/>
      <c r="M49" s="1"/>
      <c r="N49" s="1"/>
      <c r="O49" s="1"/>
      <c r="P49" s="1"/>
      <c r="Q49" s="1"/>
      <c r="R49" s="1"/>
      <c r="S49" s="1"/>
      <c r="T49" s="1"/>
      <c r="U49" s="1"/>
    </row>
    <row r="50" spans="1:21" customFormat="1" ht="15" x14ac:dyDescent="0.25">
      <c r="A50" s="251" t="s">
        <v>25</v>
      </c>
      <c r="B50" s="252"/>
      <c r="C50" s="21">
        <v>150</v>
      </c>
      <c r="D50" s="21">
        <v>200</v>
      </c>
      <c r="E50" s="66">
        <v>1</v>
      </c>
      <c r="F50" s="105">
        <v>6</v>
      </c>
      <c r="G50" s="97">
        <v>3</v>
      </c>
      <c r="H50" s="97">
        <v>0.2</v>
      </c>
      <c r="I50" s="141" t="s">
        <v>40</v>
      </c>
      <c r="L50">
        <v>1</v>
      </c>
      <c r="M50" s="1"/>
      <c r="N50" s="1"/>
      <c r="O50" s="1"/>
      <c r="P50" s="1"/>
      <c r="Q50" s="1"/>
      <c r="R50" s="1"/>
      <c r="S50" s="1"/>
      <c r="T50" s="1"/>
      <c r="U50" s="1"/>
    </row>
    <row r="51" spans="1:21" customFormat="1" ht="15" x14ac:dyDescent="0.25">
      <c r="A51" s="251" t="s">
        <v>33</v>
      </c>
      <c r="B51" s="252"/>
      <c r="C51" s="23">
        <v>150</v>
      </c>
      <c r="D51" s="23">
        <v>180</v>
      </c>
      <c r="E51" s="67">
        <v>0.8</v>
      </c>
      <c r="F51" s="24">
        <v>3</v>
      </c>
      <c r="G51" s="97">
        <f>F51/1.5</f>
        <v>2</v>
      </c>
      <c r="H51" s="97">
        <v>0.5</v>
      </c>
      <c r="I51" s="141" t="s">
        <v>36</v>
      </c>
      <c r="L51">
        <v>2</v>
      </c>
      <c r="M51" s="1"/>
      <c r="N51" s="1"/>
      <c r="O51" s="1"/>
      <c r="P51" s="1"/>
    </row>
    <row r="52" spans="1:21" customFormat="1" ht="15" x14ac:dyDescent="0.25">
      <c r="A52" s="251" t="s">
        <v>26</v>
      </c>
      <c r="B52" s="252"/>
      <c r="C52" s="23">
        <v>150</v>
      </c>
      <c r="D52" s="23">
        <v>180</v>
      </c>
      <c r="E52" s="23">
        <v>1.5</v>
      </c>
      <c r="F52" s="24">
        <v>3</v>
      </c>
      <c r="G52" s="97">
        <f>F52/1.5</f>
        <v>2</v>
      </c>
      <c r="H52" s="97">
        <v>0.5</v>
      </c>
      <c r="I52" s="141" t="s">
        <v>37</v>
      </c>
      <c r="L52">
        <v>3</v>
      </c>
      <c r="M52" s="1"/>
      <c r="N52" s="1"/>
      <c r="O52" s="1"/>
      <c r="P52" s="1"/>
    </row>
    <row r="53" spans="1:21" customFormat="1" ht="15" x14ac:dyDescent="0.25">
      <c r="A53" s="251" t="s">
        <v>20</v>
      </c>
      <c r="B53" s="252"/>
      <c r="C53" s="23">
        <v>150</v>
      </c>
      <c r="D53" s="23">
        <v>200</v>
      </c>
      <c r="E53" s="23">
        <v>0.3</v>
      </c>
      <c r="F53" s="25">
        <v>1.5</v>
      </c>
      <c r="G53" s="97">
        <f>F53/1.5</f>
        <v>1</v>
      </c>
      <c r="H53" s="97">
        <v>1</v>
      </c>
      <c r="I53" s="141" t="s">
        <v>21</v>
      </c>
      <c r="L53">
        <v>4</v>
      </c>
      <c r="M53" s="1"/>
      <c r="N53" s="1"/>
      <c r="O53" s="1"/>
      <c r="P53" s="1"/>
    </row>
    <row r="54" spans="1:21" customFormat="1" ht="15" x14ac:dyDescent="0.25">
      <c r="A54" s="251" t="s">
        <v>24</v>
      </c>
      <c r="B54" s="252"/>
      <c r="C54" s="23">
        <v>200</v>
      </c>
      <c r="D54" s="23">
        <v>250</v>
      </c>
      <c r="E54" s="23">
        <v>0.5</v>
      </c>
      <c r="F54" s="25">
        <v>1.5</v>
      </c>
      <c r="G54" s="97">
        <f>F54/1.5</f>
        <v>1</v>
      </c>
      <c r="H54" s="97">
        <v>0.8</v>
      </c>
      <c r="I54" s="141" t="s">
        <v>22</v>
      </c>
      <c r="L54">
        <v>5</v>
      </c>
      <c r="M54" s="1"/>
      <c r="N54" s="1"/>
      <c r="O54" s="1"/>
      <c r="P54" s="1"/>
    </row>
    <row r="55" spans="1:21" customFormat="1" ht="15" x14ac:dyDescent="0.25">
      <c r="A55" s="251" t="s">
        <v>32</v>
      </c>
      <c r="B55" s="252"/>
      <c r="C55" s="23">
        <v>200</v>
      </c>
      <c r="D55" s="23">
        <v>250</v>
      </c>
      <c r="E55" s="23">
        <v>0.5</v>
      </c>
      <c r="F55" s="24">
        <v>3</v>
      </c>
      <c r="G55" s="97">
        <f>F55/1.5</f>
        <v>2</v>
      </c>
      <c r="H55" s="97">
        <v>0.8</v>
      </c>
      <c r="I55" s="141" t="s">
        <v>23</v>
      </c>
      <c r="L55">
        <v>6</v>
      </c>
      <c r="M55" s="1"/>
      <c r="N55" s="1"/>
      <c r="O55" s="1"/>
      <c r="P55" s="1"/>
    </row>
    <row r="56" spans="1:21" customFormat="1" ht="15" x14ac:dyDescent="0.25">
      <c r="A56" s="251"/>
      <c r="B56" s="252"/>
      <c r="C56" s="23"/>
      <c r="D56" s="23"/>
      <c r="E56" s="23"/>
      <c r="F56" s="24"/>
      <c r="G56" s="97"/>
      <c r="H56" s="97"/>
      <c r="I56" s="142"/>
      <c r="L56">
        <v>7</v>
      </c>
      <c r="M56" s="1"/>
      <c r="N56" s="1"/>
      <c r="O56" s="1"/>
      <c r="P56" s="1"/>
    </row>
    <row r="57" spans="1:21" customFormat="1" ht="15" x14ac:dyDescent="0.25">
      <c r="A57" s="251"/>
      <c r="B57" s="252"/>
      <c r="C57" s="23"/>
      <c r="D57" s="23"/>
      <c r="E57" s="23"/>
      <c r="F57" s="24"/>
      <c r="G57" s="97"/>
      <c r="H57" s="97"/>
      <c r="I57" s="142"/>
      <c r="L57">
        <v>8</v>
      </c>
      <c r="M57" s="1"/>
      <c r="N57" s="1"/>
      <c r="O57" s="1"/>
      <c r="P57" s="1"/>
    </row>
    <row r="58" spans="1:21" customFormat="1" ht="15" x14ac:dyDescent="0.25">
      <c r="A58" s="251"/>
      <c r="B58" s="252"/>
      <c r="C58" s="23"/>
      <c r="D58" s="23"/>
      <c r="E58" s="67"/>
      <c r="F58" s="24"/>
      <c r="G58" s="97"/>
      <c r="H58" s="135"/>
      <c r="I58" s="142"/>
      <c r="L58">
        <v>9</v>
      </c>
      <c r="M58" s="1"/>
      <c r="N58" s="1"/>
      <c r="O58" s="1"/>
      <c r="P58" s="1"/>
    </row>
    <row r="59" spans="1:21" customFormat="1" ht="15" x14ac:dyDescent="0.25">
      <c r="A59" s="251"/>
      <c r="B59" s="252"/>
      <c r="C59" s="23"/>
      <c r="D59" s="23"/>
      <c r="E59" s="23"/>
      <c r="F59" s="24"/>
      <c r="G59" s="97"/>
      <c r="H59" s="135"/>
      <c r="I59" s="142"/>
      <c r="L59">
        <v>10</v>
      </c>
      <c r="M59" s="1"/>
      <c r="N59" s="1"/>
      <c r="O59" s="1"/>
      <c r="P59" s="1"/>
    </row>
    <row r="60" spans="1:21" customFormat="1" ht="15" x14ac:dyDescent="0.25">
      <c r="A60" s="251"/>
      <c r="B60" s="252"/>
      <c r="C60" s="23"/>
      <c r="D60" s="23"/>
      <c r="E60" s="23"/>
      <c r="F60" s="25"/>
      <c r="G60" s="97"/>
      <c r="H60" s="135"/>
      <c r="I60" s="142"/>
      <c r="L60">
        <v>11</v>
      </c>
      <c r="M60" s="1"/>
      <c r="N60" s="1"/>
      <c r="O60" s="1"/>
      <c r="P60" s="1"/>
    </row>
    <row r="61" spans="1:21" customFormat="1" ht="15" x14ac:dyDescent="0.25">
      <c r="A61" s="251"/>
      <c r="B61" s="252"/>
      <c r="C61" s="23"/>
      <c r="D61" s="23"/>
      <c r="E61" s="23"/>
      <c r="F61" s="25"/>
      <c r="G61" s="97"/>
      <c r="H61" s="135"/>
      <c r="I61" s="142"/>
      <c r="L61">
        <v>12</v>
      </c>
      <c r="M61" s="1"/>
      <c r="N61" s="1"/>
      <c r="O61" s="1"/>
      <c r="P61" s="1"/>
    </row>
    <row r="62" spans="1:21" customFormat="1" ht="15" x14ac:dyDescent="0.25">
      <c r="A62" s="251"/>
      <c r="B62" s="252"/>
      <c r="C62" s="23"/>
      <c r="D62" s="23"/>
      <c r="E62" s="23"/>
      <c r="F62" s="24"/>
      <c r="G62" s="97"/>
      <c r="H62" s="135"/>
      <c r="I62" s="142"/>
      <c r="L62">
        <v>13</v>
      </c>
      <c r="M62" s="2"/>
      <c r="N62" s="1"/>
      <c r="O62" s="35"/>
      <c r="P62" s="1"/>
      <c r="Q62" s="1"/>
      <c r="R62" s="1"/>
      <c r="S62" s="1"/>
      <c r="T62" s="1"/>
      <c r="U62" s="1"/>
    </row>
    <row r="63" spans="1:21" customFormat="1" ht="15" x14ac:dyDescent="0.25">
      <c r="K63" s="1"/>
    </row>
    <row r="64" spans="1:21" customFormat="1" ht="15" x14ac:dyDescent="0.25">
      <c r="K64" s="69"/>
    </row>
    <row r="65" spans="11:11" customFormat="1" ht="15" x14ac:dyDescent="0.25">
      <c r="K65" s="1"/>
    </row>
  </sheetData>
  <mergeCells count="32">
    <mergeCell ref="A60:B60"/>
    <mergeCell ref="A61:B61"/>
    <mergeCell ref="A62:B62"/>
    <mergeCell ref="A54:B54"/>
    <mergeCell ref="A55:B55"/>
    <mergeCell ref="A56:B56"/>
    <mergeCell ref="A57:B57"/>
    <mergeCell ref="A58:B58"/>
    <mergeCell ref="A59:B59"/>
    <mergeCell ref="A53:B53"/>
    <mergeCell ref="D9:E9"/>
    <mergeCell ref="H9:I9"/>
    <mergeCell ref="A44:B44"/>
    <mergeCell ref="C44:F44"/>
    <mergeCell ref="A46:B46"/>
    <mergeCell ref="I46:L46"/>
    <mergeCell ref="I47:J47"/>
    <mergeCell ref="A48:B48"/>
    <mergeCell ref="A50:B50"/>
    <mergeCell ref="A51:B51"/>
    <mergeCell ref="A52:B52"/>
    <mergeCell ref="D6:E6"/>
    <mergeCell ref="H6:I6"/>
    <mergeCell ref="K6:K7"/>
    <mergeCell ref="T6:U6"/>
    <mergeCell ref="C7:E7"/>
    <mergeCell ref="G7:I7"/>
    <mergeCell ref="A1:C1"/>
    <mergeCell ref="D1:G1"/>
    <mergeCell ref="B2:G2"/>
    <mergeCell ref="D3:E3"/>
    <mergeCell ref="D4:E4"/>
  </mergeCells>
  <dataValidations count="1">
    <dataValidation type="list" allowBlank="1" showInputMessage="1" showErrorMessage="1" sqref="B2:C2" xr:uid="{00000000-0002-0000-0200-000000000000}">
      <formula1>$A$50:$A$62</formula1>
    </dataValidation>
  </dataValidations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shapeId="4097" r:id="rId3">
          <objectPr defaultSize="0" autoPict="0" r:id="rId4">
            <anchor moveWithCells="1" sizeWithCells="1">
              <from>
                <xdr:col>7</xdr:col>
                <xdr:colOff>371475</xdr:colOff>
                <xdr:row>0</xdr:row>
                <xdr:rowOff>104775</xdr:rowOff>
              </from>
              <to>
                <xdr:col>10</xdr:col>
                <xdr:colOff>933450</xdr:colOff>
                <xdr:row>1</xdr:row>
                <xdr:rowOff>247650</xdr:rowOff>
              </to>
            </anchor>
          </objectPr>
        </oleObject>
      </mc:Choice>
      <mc:Fallback>
        <oleObject shapeId="4097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65"/>
  <sheetViews>
    <sheetView workbookViewId="0">
      <selection activeCell="AA16" sqref="AA16"/>
    </sheetView>
  </sheetViews>
  <sheetFormatPr baseColWidth="10" defaultRowHeight="15.75" x14ac:dyDescent="0.25"/>
  <cols>
    <col min="1" max="1" width="23.140625" bestFit="1" customWidth="1"/>
    <col min="2" max="2" width="17" bestFit="1" customWidth="1"/>
    <col min="4" max="4" width="8.5703125" bestFit="1" customWidth="1"/>
    <col min="5" max="5" width="10.85546875" bestFit="1" customWidth="1"/>
    <col min="6" max="6" width="17" bestFit="1" customWidth="1"/>
    <col min="7" max="8" width="14.5703125" customWidth="1"/>
    <col min="9" max="9" width="10" bestFit="1" customWidth="1"/>
    <col min="10" max="10" width="12.5703125" customWidth="1"/>
    <col min="11" max="11" width="15.7109375" customWidth="1"/>
    <col min="12" max="12" width="2.85546875" customWidth="1"/>
    <col min="13" max="14" width="11.42578125" hidden="1" customWidth="1"/>
    <col min="15" max="16" width="9.5703125" hidden="1" customWidth="1"/>
    <col min="17" max="19" width="2" hidden="1" customWidth="1"/>
    <col min="20" max="20" width="8.7109375" customWidth="1"/>
    <col min="21" max="21" width="10.7109375" customWidth="1"/>
    <col min="22" max="23" width="3.42578125" customWidth="1"/>
    <col min="24" max="24" width="45.28515625" style="106" customWidth="1"/>
  </cols>
  <sheetData>
    <row r="1" spans="1:25" ht="26.25" thickBot="1" x14ac:dyDescent="0.35">
      <c r="A1" s="231" t="s">
        <v>62</v>
      </c>
      <c r="B1" s="232"/>
      <c r="C1" s="232"/>
      <c r="D1" s="233"/>
      <c r="E1" s="234"/>
      <c r="F1" s="234"/>
      <c r="G1" s="234"/>
      <c r="H1" s="27">
        <v>1.1000000000000001</v>
      </c>
      <c r="I1" s="4"/>
      <c r="J1" s="3"/>
      <c r="K1" s="3"/>
      <c r="L1" s="3"/>
      <c r="M1" s="29"/>
      <c r="X1" s="229" t="s">
        <v>50</v>
      </c>
      <c r="Y1" s="229"/>
    </row>
    <row r="2" spans="1:25" ht="27" thickBot="1" x14ac:dyDescent="0.45">
      <c r="A2" s="10" t="s">
        <v>0</v>
      </c>
      <c r="B2" s="235" t="s">
        <v>26</v>
      </c>
      <c r="C2" s="236"/>
      <c r="D2" s="236"/>
      <c r="E2" s="236"/>
      <c r="F2" s="236"/>
      <c r="G2" s="237"/>
      <c r="H2" s="58"/>
      <c r="I2" s="59"/>
      <c r="J2" s="3"/>
      <c r="K2" s="3"/>
      <c r="L2" s="3"/>
      <c r="M2" s="4"/>
      <c r="N2" s="4"/>
      <c r="O2" s="4"/>
      <c r="P2" s="30"/>
      <c r="Q2" s="31"/>
      <c r="R2" s="6"/>
      <c r="S2" s="4"/>
      <c r="T2" s="4"/>
      <c r="U2" s="4"/>
      <c r="X2" s="229" t="s">
        <v>54</v>
      </c>
      <c r="Y2" s="229"/>
    </row>
    <row r="3" spans="1:25" ht="19.5" thickBot="1" x14ac:dyDescent="0.35">
      <c r="A3" s="73" t="s">
        <v>63</v>
      </c>
      <c r="B3" s="74">
        <v>60000</v>
      </c>
      <c r="C3" s="70" t="s">
        <v>68</v>
      </c>
      <c r="D3" s="238" t="s">
        <v>39</v>
      </c>
      <c r="E3" s="239"/>
      <c r="F3" s="168">
        <f>E48</f>
        <v>1.5</v>
      </c>
      <c r="G3" s="76" t="s">
        <v>65</v>
      </c>
      <c r="H3" s="143" t="s">
        <v>67</v>
      </c>
      <c r="I3" s="93"/>
      <c r="J3" s="94"/>
      <c r="K3" s="110"/>
      <c r="L3" s="7"/>
      <c r="M3" s="32"/>
      <c r="N3" s="32"/>
      <c r="O3" s="33"/>
      <c r="P3" s="7"/>
      <c r="Q3" s="7"/>
      <c r="R3" s="7"/>
      <c r="S3" s="7"/>
      <c r="T3" s="7"/>
      <c r="U3" s="7"/>
      <c r="X3" s="229" t="s">
        <v>51</v>
      </c>
      <c r="Y3" s="229"/>
    </row>
    <row r="4" spans="1:25" ht="19.5" thickBot="1" x14ac:dyDescent="0.35">
      <c r="A4" s="73" t="s">
        <v>64</v>
      </c>
      <c r="B4" s="75">
        <v>15000</v>
      </c>
      <c r="C4" s="71" t="s">
        <v>68</v>
      </c>
      <c r="D4" s="240" t="s">
        <v>66</v>
      </c>
      <c r="E4" s="241"/>
      <c r="F4" s="63">
        <f>F48</f>
        <v>3</v>
      </c>
      <c r="G4" s="71" t="s">
        <v>3</v>
      </c>
      <c r="H4" s="163">
        <f>L48</f>
        <v>3</v>
      </c>
      <c r="I4" s="144"/>
      <c r="J4" s="145"/>
      <c r="K4" s="7"/>
      <c r="L4" s="7"/>
      <c r="M4" s="32"/>
      <c r="N4" s="32"/>
      <c r="O4" s="33"/>
      <c r="P4" s="7"/>
      <c r="Q4" s="7"/>
      <c r="R4" s="7"/>
      <c r="S4" s="7"/>
      <c r="T4" s="7"/>
      <c r="U4" s="7"/>
      <c r="X4" s="229" t="s">
        <v>52</v>
      </c>
      <c r="Y4" s="229"/>
    </row>
    <row r="5" spans="1:25" s="92" customFormat="1" ht="18" customHeight="1" thickBot="1" x14ac:dyDescent="0.35">
      <c r="A5" s="82"/>
      <c r="B5" s="83"/>
      <c r="C5" s="84"/>
      <c r="D5" s="85"/>
      <c r="E5" s="86"/>
      <c r="F5" s="87"/>
      <c r="G5" s="84"/>
      <c r="H5" s="88"/>
      <c r="I5" s="89"/>
      <c r="J5" s="90"/>
      <c r="K5" s="91"/>
      <c r="L5" s="91"/>
      <c r="M5" s="33"/>
      <c r="N5" s="33"/>
      <c r="O5" s="33"/>
      <c r="P5" s="91"/>
      <c r="Q5" s="91"/>
      <c r="R5" s="91"/>
      <c r="S5" s="91"/>
      <c r="T5" s="91"/>
      <c r="U5" s="91"/>
      <c r="X5" s="230" t="s">
        <v>53</v>
      </c>
      <c r="Y5" s="230"/>
    </row>
    <row r="6" spans="1:25" ht="16.5" thickBot="1" x14ac:dyDescent="0.3">
      <c r="A6" s="72" t="s">
        <v>69</v>
      </c>
      <c r="B6" s="77" t="s">
        <v>4</v>
      </c>
      <c r="C6" s="78">
        <f>C48</f>
        <v>150</v>
      </c>
      <c r="D6" s="242" t="s">
        <v>5</v>
      </c>
      <c r="E6" s="243"/>
      <c r="F6" s="77" t="s">
        <v>6</v>
      </c>
      <c r="G6" s="78">
        <f>D48</f>
        <v>180</v>
      </c>
      <c r="H6" s="242" t="s">
        <v>5</v>
      </c>
      <c r="I6" s="243"/>
      <c r="J6" s="133" t="s">
        <v>73</v>
      </c>
      <c r="K6" s="244" t="s">
        <v>75</v>
      </c>
      <c r="L6" s="161"/>
      <c r="M6" s="7"/>
      <c r="N6" s="32"/>
      <c r="O6" s="33"/>
      <c r="P6" s="7"/>
      <c r="Q6" s="7"/>
      <c r="R6" s="7"/>
      <c r="S6" s="7"/>
      <c r="T6" s="246" t="s">
        <v>76</v>
      </c>
      <c r="U6" s="247"/>
      <c r="X6" s="228"/>
      <c r="Y6" s="228"/>
    </row>
    <row r="7" spans="1:25" ht="16.5" thickBot="1" x14ac:dyDescent="0.3">
      <c r="A7" s="111" t="s">
        <v>70</v>
      </c>
      <c r="B7" s="11" t="s">
        <v>71</v>
      </c>
      <c r="C7" s="248" t="s">
        <v>72</v>
      </c>
      <c r="D7" s="249"/>
      <c r="E7" s="250"/>
      <c r="F7" s="11" t="s">
        <v>71</v>
      </c>
      <c r="G7" s="248" t="s">
        <v>72</v>
      </c>
      <c r="H7" s="249"/>
      <c r="I7" s="250"/>
      <c r="J7" s="134" t="s">
        <v>74</v>
      </c>
      <c r="K7" s="245"/>
      <c r="L7" s="42"/>
      <c r="M7" s="7"/>
      <c r="N7" s="26"/>
      <c r="O7" s="33"/>
      <c r="P7" s="7"/>
      <c r="Q7" s="7"/>
      <c r="R7" s="7"/>
      <c r="S7" s="7"/>
      <c r="T7" s="22" t="s">
        <v>35</v>
      </c>
      <c r="U7" s="25" t="s">
        <v>39</v>
      </c>
    </row>
    <row r="8" spans="1:25" ht="16.5" thickBot="1" x14ac:dyDescent="0.3">
      <c r="A8" s="112" t="s">
        <v>3</v>
      </c>
      <c r="B8" s="13" t="s">
        <v>68</v>
      </c>
      <c r="C8" s="14" t="s">
        <v>13</v>
      </c>
      <c r="D8" s="14" t="s">
        <v>5</v>
      </c>
      <c r="E8" s="15" t="s">
        <v>8</v>
      </c>
      <c r="F8" s="13" t="s">
        <v>68</v>
      </c>
      <c r="G8" s="14" t="s">
        <v>13</v>
      </c>
      <c r="H8" s="14" t="s">
        <v>5</v>
      </c>
      <c r="I8" s="15" t="s">
        <v>8</v>
      </c>
      <c r="J8" s="118" t="s">
        <v>3</v>
      </c>
      <c r="K8" s="12" t="s">
        <v>3</v>
      </c>
      <c r="L8" s="43"/>
      <c r="M8" s="7"/>
      <c r="N8" s="37"/>
      <c r="O8" s="33"/>
      <c r="P8" s="34"/>
      <c r="Q8" s="7"/>
      <c r="R8" s="7"/>
      <c r="S8" s="7"/>
      <c r="T8" s="165" t="s">
        <v>3</v>
      </c>
      <c r="U8" s="166" t="s">
        <v>5</v>
      </c>
    </row>
    <row r="9" spans="1:25" ht="17.25" thickTop="1" thickBot="1" x14ac:dyDescent="0.3">
      <c r="A9" s="113" t="s">
        <v>70</v>
      </c>
      <c r="B9" s="46" t="s">
        <v>9</v>
      </c>
      <c r="C9" s="109" t="s">
        <v>10</v>
      </c>
      <c r="D9" s="253" t="s">
        <v>41</v>
      </c>
      <c r="E9" s="254"/>
      <c r="F9" s="46" t="s">
        <v>9</v>
      </c>
      <c r="G9" s="109" t="s">
        <v>10</v>
      </c>
      <c r="H9" s="255" t="s">
        <v>41</v>
      </c>
      <c r="I9" s="254"/>
      <c r="J9" s="119" t="s">
        <v>11</v>
      </c>
      <c r="K9" s="50" t="s">
        <v>12</v>
      </c>
      <c r="L9" s="51"/>
      <c r="M9" s="7"/>
      <c r="N9" s="38"/>
      <c r="O9" s="33"/>
      <c r="P9" s="34"/>
      <c r="Q9" s="7"/>
      <c r="R9" s="7"/>
      <c r="S9" s="7"/>
      <c r="T9" s="160" t="s">
        <v>38</v>
      </c>
      <c r="U9" s="160" t="s">
        <v>39</v>
      </c>
    </row>
    <row r="10" spans="1:25" ht="17.25" thickTop="1" thickBot="1" x14ac:dyDescent="0.3">
      <c r="A10" s="114" t="s">
        <v>3</v>
      </c>
      <c r="B10" s="52" t="s">
        <v>1</v>
      </c>
      <c r="C10" s="53" t="s">
        <v>13</v>
      </c>
      <c r="D10" s="54" t="s">
        <v>5</v>
      </c>
      <c r="E10" s="55" t="s">
        <v>8</v>
      </c>
      <c r="F10" s="52" t="s">
        <v>1</v>
      </c>
      <c r="G10" s="53" t="s">
        <v>13</v>
      </c>
      <c r="H10" s="54" t="s">
        <v>5</v>
      </c>
      <c r="I10" s="132" t="s">
        <v>8</v>
      </c>
      <c r="J10" s="120" t="s">
        <v>3</v>
      </c>
      <c r="K10" s="57" t="s">
        <v>3</v>
      </c>
      <c r="L10" s="56"/>
      <c r="M10" s="7"/>
      <c r="N10" s="38"/>
      <c r="O10" s="33"/>
      <c r="P10" s="34"/>
      <c r="Q10" s="7"/>
      <c r="R10" s="7"/>
      <c r="S10" s="7"/>
      <c r="T10" s="48" t="s">
        <v>3</v>
      </c>
      <c r="U10" s="49" t="s">
        <v>5</v>
      </c>
    </row>
    <row r="11" spans="1:25" x14ac:dyDescent="0.25">
      <c r="A11" s="169" t="str">
        <f>IF(0.2&lt;H$48,"NA",0.2)</f>
        <v>NA</v>
      </c>
      <c r="B11" s="170" t="e">
        <f>IF((ROUND((IF($C$6*1000/(3.14*$A11)&gt;$B$3,$B$3,$C$6*1000/(3.14*$A11)))/1000,1)*1000)&lt;$B$4,$B$4,(ROUND((IF($C$6*1000/(3.14*$A11)&gt;$B$3,$B$3,$C$6*1000/(3.14*$A11)))/1000,1)*1000))</f>
        <v>#VALUE!</v>
      </c>
      <c r="C11" s="171" t="e">
        <f>P11</f>
        <v>#VALUE!</v>
      </c>
      <c r="D11" s="172" t="e">
        <f>+B11*C11/1000</f>
        <v>#VALUE!</v>
      </c>
      <c r="E11" s="173" t="e">
        <f>+D11*1000/25.4</f>
        <v>#VALUE!</v>
      </c>
      <c r="F11" s="170" t="e">
        <f>ROUND(IF(IF(($G$6*1000/(3.14*$A11))&gt;$B$3,$B$3,($G$6*1000/(3.14*$A11)))&lt;$B$4,$B$4,IF(($G$6*1000/(3.14*$A11))&gt;$B$3,$B$3,($G$6*1000/(3.14*$A11))))/1000,1)*1000</f>
        <v>#VALUE!</v>
      </c>
      <c r="G11" s="171" t="e">
        <f>P11*$H$1</f>
        <v>#VALUE!</v>
      </c>
      <c r="H11" s="172" t="e">
        <f>+F11*G11/1000</f>
        <v>#VALUE!</v>
      </c>
      <c r="I11" s="173" t="e">
        <f>+H11*1000/25.4</f>
        <v>#VALUE!</v>
      </c>
      <c r="J11" s="174" t="e">
        <f t="shared" ref="J11:J39" si="0">IF(A11*$G$48&gt;$F$48,$F$48,A11*$G$48)</f>
        <v>#VALUE!</v>
      </c>
      <c r="K11" s="175" t="e">
        <f t="shared" ref="K11:K39" si="1">IF((A11/2*1.08)&gt;1,1,(A11/2*1.08))</f>
        <v>#VALUE!</v>
      </c>
      <c r="L11" s="176"/>
      <c r="M11" s="7"/>
      <c r="N11" s="36"/>
      <c r="O11" s="99">
        <v>1E-3</v>
      </c>
      <c r="P11" s="99" t="e">
        <f t="shared" ref="P11:P39" si="2">IF(A11*(($F$3/100)+O11)&lt;0.001,0.001,(A11*(($F$3/100)+O11)))</f>
        <v>#VALUE!</v>
      </c>
      <c r="Q11" s="7"/>
      <c r="R11" s="7"/>
      <c r="S11" s="7"/>
      <c r="T11" s="177" t="e">
        <f>A11-0.1</f>
        <v>#VALUE!</v>
      </c>
      <c r="U11" s="178" t="e">
        <f>A11*0.03*B11/1000</f>
        <v>#VALUE!</v>
      </c>
    </row>
    <row r="12" spans="1:25" ht="16.5" thickBot="1" x14ac:dyDescent="0.3">
      <c r="A12" s="179" t="str">
        <f>IF(0.3&lt;H$48,"NA",0.3)</f>
        <v>NA</v>
      </c>
      <c r="B12" s="180" t="e">
        <f t="shared" ref="B12:B39" si="3">IF((ROUND((IF($C$6*1000/(3.14*$A12)&gt;$B$3,$B$3,$C$6*1000/(3.14*$A12)))/1000,1)*1000)&lt;$B$4,$B$4,(ROUND((IF($C$6*1000/(3.14*$A12)&gt;$B$3,$B$3,$C$6*1000/(3.14*$A12)))/1000,1)*1000))</f>
        <v>#VALUE!</v>
      </c>
      <c r="C12" s="181" t="e">
        <f t="shared" ref="C12:C39" si="4">P12</f>
        <v>#VALUE!</v>
      </c>
      <c r="D12" s="182" t="e">
        <f t="shared" ref="D12:D39" si="5">+B12*C12/1000</f>
        <v>#VALUE!</v>
      </c>
      <c r="E12" s="183" t="e">
        <f t="shared" ref="E12:E39" si="6">+D12*1000/25.4</f>
        <v>#VALUE!</v>
      </c>
      <c r="F12" s="180" t="e">
        <f t="shared" ref="F12:F39" si="7">ROUND(IF(IF(($G$6*1000/(3.14*$A12))&gt;$B$3,$B$3,($G$6*1000/(3.14*$A12)))&lt;$B$4,$B$4,IF(($G$6*1000/(3.14*$A12))&gt;$B$3,$B$3,($G$6*1000/(3.14*$A12))))/1000,1)*1000</f>
        <v>#VALUE!</v>
      </c>
      <c r="G12" s="181" t="e">
        <f t="shared" ref="G12:G39" si="8">P12*$H$1</f>
        <v>#VALUE!</v>
      </c>
      <c r="H12" s="182" t="e">
        <f t="shared" ref="H12:H39" si="9">+F12*G12/1000</f>
        <v>#VALUE!</v>
      </c>
      <c r="I12" s="183" t="e">
        <f t="shared" ref="I12:I39" si="10">+H12*1000/25.4</f>
        <v>#VALUE!</v>
      </c>
      <c r="J12" s="184" t="e">
        <f t="shared" si="0"/>
        <v>#VALUE!</v>
      </c>
      <c r="K12" s="185" t="e">
        <f t="shared" si="1"/>
        <v>#VALUE!</v>
      </c>
      <c r="L12" s="186"/>
      <c r="M12" s="7"/>
      <c r="N12" s="36"/>
      <c r="O12" s="99">
        <f>O11+0.0002</f>
        <v>1.2000000000000001E-3</v>
      </c>
      <c r="P12" s="99" t="e">
        <f t="shared" si="2"/>
        <v>#VALUE!</v>
      </c>
      <c r="Q12" s="7"/>
      <c r="R12" s="7"/>
      <c r="S12" s="7"/>
      <c r="T12" s="187" t="e">
        <f t="shared" ref="T12:T15" si="11">A12-0.1</f>
        <v>#VALUE!</v>
      </c>
      <c r="U12" s="188" t="e">
        <f t="shared" ref="U12:U39" si="12">A12*0.03*B12/1000</f>
        <v>#VALUE!</v>
      </c>
      <c r="X12" s="227" t="s">
        <v>67</v>
      </c>
      <c r="Y12" t="s">
        <v>46</v>
      </c>
    </row>
    <row r="13" spans="1:25" x14ac:dyDescent="0.25">
      <c r="A13" s="189" t="str">
        <f>IF(0.4&lt;H$48,"NA",0.4)</f>
        <v>NA</v>
      </c>
      <c r="B13" s="190" t="e">
        <f t="shared" si="3"/>
        <v>#VALUE!</v>
      </c>
      <c r="C13" s="191" t="e">
        <f t="shared" si="4"/>
        <v>#VALUE!</v>
      </c>
      <c r="D13" s="192" t="e">
        <f t="shared" si="5"/>
        <v>#VALUE!</v>
      </c>
      <c r="E13" s="193" t="e">
        <f t="shared" si="6"/>
        <v>#VALUE!</v>
      </c>
      <c r="F13" s="190" t="e">
        <f t="shared" si="7"/>
        <v>#VALUE!</v>
      </c>
      <c r="G13" s="191" t="e">
        <f t="shared" si="8"/>
        <v>#VALUE!</v>
      </c>
      <c r="H13" s="192" t="e">
        <f t="shared" si="9"/>
        <v>#VALUE!</v>
      </c>
      <c r="I13" s="193" t="e">
        <f t="shared" si="10"/>
        <v>#VALUE!</v>
      </c>
      <c r="J13" s="194" t="e">
        <f t="shared" si="0"/>
        <v>#VALUE!</v>
      </c>
      <c r="K13" s="195" t="e">
        <f t="shared" si="1"/>
        <v>#VALUE!</v>
      </c>
      <c r="L13" s="176"/>
      <c r="M13" s="7"/>
      <c r="N13" s="36"/>
      <c r="O13" s="99">
        <f t="shared" ref="O13:O23" si="13">O12+0.0002</f>
        <v>1.4000000000000002E-3</v>
      </c>
      <c r="P13" s="99" t="e">
        <f t="shared" si="2"/>
        <v>#VALUE!</v>
      </c>
      <c r="Q13" s="7"/>
      <c r="R13" s="7"/>
      <c r="S13" s="7"/>
      <c r="T13" s="177" t="e">
        <f t="shared" si="11"/>
        <v>#VALUE!</v>
      </c>
      <c r="U13" s="178" t="e">
        <f t="shared" si="12"/>
        <v>#VALUE!</v>
      </c>
      <c r="X13" s="200" t="s">
        <v>40</v>
      </c>
      <c r="Y13" s="201">
        <v>1</v>
      </c>
    </row>
    <row r="14" spans="1:25" x14ac:dyDescent="0.25">
      <c r="A14" s="138">
        <f>IF(0.5&lt;H$48,"NA",0.5)</f>
        <v>0.5</v>
      </c>
      <c r="B14" s="126">
        <f t="shared" si="3"/>
        <v>60000</v>
      </c>
      <c r="C14" s="101">
        <f t="shared" si="4"/>
        <v>8.3000000000000001E-3</v>
      </c>
      <c r="D14" s="102">
        <f t="shared" si="5"/>
        <v>0.498</v>
      </c>
      <c r="E14" s="127">
        <f t="shared" si="6"/>
        <v>19.606299212598426</v>
      </c>
      <c r="F14" s="126">
        <f t="shared" si="7"/>
        <v>60000</v>
      </c>
      <c r="G14" s="101">
        <f t="shared" si="8"/>
        <v>9.130000000000001E-3</v>
      </c>
      <c r="H14" s="102">
        <f t="shared" si="9"/>
        <v>0.54780000000000006</v>
      </c>
      <c r="I14" s="127">
        <f t="shared" si="10"/>
        <v>21.56692913385827</v>
      </c>
      <c r="J14" s="122">
        <f t="shared" si="0"/>
        <v>1</v>
      </c>
      <c r="K14" s="103">
        <f t="shared" si="1"/>
        <v>0.27</v>
      </c>
      <c r="L14" s="96"/>
      <c r="M14" s="7"/>
      <c r="N14" s="36"/>
      <c r="O14" s="99">
        <f t="shared" si="13"/>
        <v>1.6000000000000003E-3</v>
      </c>
      <c r="P14" s="99">
        <f t="shared" si="2"/>
        <v>8.3000000000000001E-3</v>
      </c>
      <c r="Q14" s="7"/>
      <c r="R14" s="7"/>
      <c r="S14" s="7"/>
      <c r="T14" s="159">
        <f t="shared" si="11"/>
        <v>0.4</v>
      </c>
      <c r="U14" s="164">
        <f t="shared" si="12"/>
        <v>0.9</v>
      </c>
      <c r="X14" s="202" t="s">
        <v>36</v>
      </c>
      <c r="Y14" s="203">
        <v>2</v>
      </c>
    </row>
    <row r="15" spans="1:25" x14ac:dyDescent="0.25">
      <c r="A15" s="137">
        <f>IF(0.6&lt;H$48,"NA",0.6)</f>
        <v>0.6</v>
      </c>
      <c r="B15" s="128">
        <f t="shared" si="3"/>
        <v>60000</v>
      </c>
      <c r="C15" s="61">
        <f t="shared" si="4"/>
        <v>1.0079999999999999E-2</v>
      </c>
      <c r="D15" s="62">
        <f t="shared" si="5"/>
        <v>0.6048</v>
      </c>
      <c r="E15" s="16">
        <f t="shared" si="6"/>
        <v>23.811023622047244</v>
      </c>
      <c r="F15" s="128">
        <f t="shared" si="7"/>
        <v>60000</v>
      </c>
      <c r="G15" s="61">
        <f t="shared" si="8"/>
        <v>1.1087999999999999E-2</v>
      </c>
      <c r="H15" s="62">
        <f t="shared" si="9"/>
        <v>0.66527999999999998</v>
      </c>
      <c r="I15" s="16">
        <f t="shared" si="10"/>
        <v>26.19212598425197</v>
      </c>
      <c r="J15" s="123">
        <f t="shared" si="0"/>
        <v>1.2</v>
      </c>
      <c r="K15" s="104">
        <f t="shared" si="1"/>
        <v>0.32400000000000001</v>
      </c>
      <c r="L15" s="44"/>
      <c r="M15" s="7"/>
      <c r="N15" s="36"/>
      <c r="O15" s="99">
        <f t="shared" si="13"/>
        <v>1.8000000000000004E-3</v>
      </c>
      <c r="P15" s="99">
        <f t="shared" si="2"/>
        <v>1.0079999999999999E-2</v>
      </c>
      <c r="Q15" s="7"/>
      <c r="R15" s="7"/>
      <c r="S15" s="7"/>
      <c r="T15" s="47">
        <f t="shared" si="11"/>
        <v>0.5</v>
      </c>
      <c r="U15" s="162">
        <f t="shared" si="12"/>
        <v>1.08</v>
      </c>
      <c r="X15" s="202" t="s">
        <v>37</v>
      </c>
      <c r="Y15" s="203">
        <v>3</v>
      </c>
    </row>
    <row r="16" spans="1:25" x14ac:dyDescent="0.25">
      <c r="A16" s="138">
        <f>IF(0.7&lt;H$48,"NA",0.7)</f>
        <v>0.7</v>
      </c>
      <c r="B16" s="126">
        <f t="shared" si="3"/>
        <v>60000</v>
      </c>
      <c r="C16" s="101">
        <f t="shared" si="4"/>
        <v>1.1900000000000001E-2</v>
      </c>
      <c r="D16" s="102">
        <f t="shared" si="5"/>
        <v>0.71399999999999997</v>
      </c>
      <c r="E16" s="127">
        <f t="shared" si="6"/>
        <v>28.110236220472441</v>
      </c>
      <c r="F16" s="126">
        <f t="shared" si="7"/>
        <v>60000</v>
      </c>
      <c r="G16" s="101">
        <f t="shared" si="8"/>
        <v>1.3090000000000003E-2</v>
      </c>
      <c r="H16" s="102">
        <f t="shared" si="9"/>
        <v>0.78540000000000021</v>
      </c>
      <c r="I16" s="127">
        <f t="shared" si="10"/>
        <v>30.921259842519696</v>
      </c>
      <c r="J16" s="122">
        <f t="shared" si="0"/>
        <v>1.4</v>
      </c>
      <c r="K16" s="103">
        <f t="shared" si="1"/>
        <v>0.378</v>
      </c>
      <c r="L16" s="96"/>
      <c r="M16" s="7"/>
      <c r="N16" s="36"/>
      <c r="O16" s="99">
        <f t="shared" si="13"/>
        <v>2.0000000000000005E-3</v>
      </c>
      <c r="P16" s="99">
        <f t="shared" si="2"/>
        <v>1.1900000000000001E-2</v>
      </c>
      <c r="Q16" s="7"/>
      <c r="R16" s="7"/>
      <c r="S16" s="7"/>
      <c r="T16" s="159">
        <f>A16-0.2</f>
        <v>0.49999999999999994</v>
      </c>
      <c r="U16" s="164">
        <f t="shared" si="12"/>
        <v>1.2599999999999998</v>
      </c>
      <c r="X16" s="202" t="s">
        <v>21</v>
      </c>
      <c r="Y16" s="203">
        <v>4</v>
      </c>
    </row>
    <row r="17" spans="1:25" x14ac:dyDescent="0.25">
      <c r="A17" s="137">
        <f>IF(0.8&lt;H$48,"NA",0.8)</f>
        <v>0.8</v>
      </c>
      <c r="B17" s="128">
        <f t="shared" si="3"/>
        <v>59700</v>
      </c>
      <c r="C17" s="61">
        <f t="shared" si="4"/>
        <v>1.3760000000000001E-2</v>
      </c>
      <c r="D17" s="62">
        <f t="shared" si="5"/>
        <v>0.82147200000000009</v>
      </c>
      <c r="E17" s="16">
        <f t="shared" si="6"/>
        <v>32.341417322834651</v>
      </c>
      <c r="F17" s="128">
        <f t="shared" si="7"/>
        <v>60000</v>
      </c>
      <c r="G17" s="61">
        <f t="shared" si="8"/>
        <v>1.5136000000000004E-2</v>
      </c>
      <c r="H17" s="62">
        <f t="shared" si="9"/>
        <v>0.90816000000000019</v>
      </c>
      <c r="I17" s="16">
        <f t="shared" si="10"/>
        <v>35.754330708661428</v>
      </c>
      <c r="J17" s="123">
        <f t="shared" si="0"/>
        <v>1.6</v>
      </c>
      <c r="K17" s="104">
        <f t="shared" si="1"/>
        <v>0.43200000000000005</v>
      </c>
      <c r="L17" s="44"/>
      <c r="M17" s="7"/>
      <c r="N17" s="36"/>
      <c r="O17" s="99">
        <f t="shared" si="13"/>
        <v>2.2000000000000006E-3</v>
      </c>
      <c r="P17" s="99">
        <f t="shared" si="2"/>
        <v>1.3760000000000001E-2</v>
      </c>
      <c r="Q17" s="7"/>
      <c r="R17" s="7"/>
      <c r="S17" s="7"/>
      <c r="T17" s="47">
        <f t="shared" ref="T17:T39" si="14">A17-0.2</f>
        <v>0.60000000000000009</v>
      </c>
      <c r="U17" s="162">
        <f t="shared" si="12"/>
        <v>1.4327999999999999</v>
      </c>
      <c r="X17" s="202" t="s">
        <v>22</v>
      </c>
      <c r="Y17" s="203">
        <v>5</v>
      </c>
    </row>
    <row r="18" spans="1:25" x14ac:dyDescent="0.25">
      <c r="A18" s="138">
        <f>IF(0.9&lt;H$48,"NA",0.9)</f>
        <v>0.9</v>
      </c>
      <c r="B18" s="126">
        <f t="shared" si="3"/>
        <v>53100</v>
      </c>
      <c r="C18" s="101">
        <f t="shared" si="4"/>
        <v>1.566E-2</v>
      </c>
      <c r="D18" s="102">
        <f t="shared" si="5"/>
        <v>0.83154600000000001</v>
      </c>
      <c r="E18" s="127">
        <f t="shared" si="6"/>
        <v>32.738031496062995</v>
      </c>
      <c r="F18" s="126">
        <f t="shared" si="7"/>
        <v>60000</v>
      </c>
      <c r="G18" s="101">
        <f t="shared" si="8"/>
        <v>1.7226000000000002E-2</v>
      </c>
      <c r="H18" s="102">
        <f t="shared" si="9"/>
        <v>1.0335600000000003</v>
      </c>
      <c r="I18" s="127">
        <f t="shared" si="10"/>
        <v>40.691338582677176</v>
      </c>
      <c r="J18" s="122">
        <f t="shared" si="0"/>
        <v>1.8</v>
      </c>
      <c r="K18" s="103">
        <f t="shared" si="1"/>
        <v>0.48600000000000004</v>
      </c>
      <c r="L18" s="96"/>
      <c r="M18" s="7"/>
      <c r="N18" s="36"/>
      <c r="O18" s="99">
        <f t="shared" si="13"/>
        <v>2.4000000000000007E-3</v>
      </c>
      <c r="P18" s="99">
        <f t="shared" si="2"/>
        <v>1.566E-2</v>
      </c>
      <c r="Q18" s="7"/>
      <c r="R18" s="7"/>
      <c r="S18" s="7"/>
      <c r="T18" s="159">
        <f t="shared" si="14"/>
        <v>0.7</v>
      </c>
      <c r="U18" s="164">
        <f t="shared" si="12"/>
        <v>1.4337</v>
      </c>
      <c r="X18" s="202" t="s">
        <v>23</v>
      </c>
      <c r="Y18" s="203">
        <v>6</v>
      </c>
    </row>
    <row r="19" spans="1:25" x14ac:dyDescent="0.25">
      <c r="A19" s="137">
        <f>IF(1&lt;H$48,"NA",1)</f>
        <v>1</v>
      </c>
      <c r="B19" s="128">
        <f t="shared" si="3"/>
        <v>47800</v>
      </c>
      <c r="C19" s="61">
        <f t="shared" si="4"/>
        <v>1.7600000000000001E-2</v>
      </c>
      <c r="D19" s="62">
        <f t="shared" si="5"/>
        <v>0.84128000000000014</v>
      </c>
      <c r="E19" s="16">
        <f t="shared" si="6"/>
        <v>33.121259842519692</v>
      </c>
      <c r="F19" s="128">
        <f t="shared" si="7"/>
        <v>57300</v>
      </c>
      <c r="G19" s="61">
        <f t="shared" si="8"/>
        <v>1.9360000000000002E-2</v>
      </c>
      <c r="H19" s="62">
        <f t="shared" si="9"/>
        <v>1.1093280000000001</v>
      </c>
      <c r="I19" s="16">
        <f t="shared" si="10"/>
        <v>43.674330708661429</v>
      </c>
      <c r="J19" s="123">
        <f t="shared" si="0"/>
        <v>2</v>
      </c>
      <c r="K19" s="104">
        <f t="shared" si="1"/>
        <v>0.54</v>
      </c>
      <c r="L19" s="44"/>
      <c r="M19" s="7"/>
      <c r="N19" s="36"/>
      <c r="O19" s="99">
        <f t="shared" si="13"/>
        <v>2.6000000000000007E-3</v>
      </c>
      <c r="P19" s="99">
        <f t="shared" si="2"/>
        <v>1.7600000000000001E-2</v>
      </c>
      <c r="Q19" s="7"/>
      <c r="R19" s="7"/>
      <c r="S19" s="7"/>
      <c r="T19" s="47">
        <f t="shared" si="14"/>
        <v>0.8</v>
      </c>
      <c r="U19" s="162">
        <f t="shared" si="12"/>
        <v>1.4339999999999999</v>
      </c>
      <c r="X19" s="204"/>
      <c r="Y19" s="203">
        <v>7</v>
      </c>
    </row>
    <row r="20" spans="1:25" x14ac:dyDescent="0.25">
      <c r="A20" s="138">
        <f>IF(1.1&lt;H$48,"NA",1.1)</f>
        <v>1.1000000000000001</v>
      </c>
      <c r="B20" s="126">
        <f t="shared" si="3"/>
        <v>43400</v>
      </c>
      <c r="C20" s="101">
        <f t="shared" si="4"/>
        <v>1.958E-2</v>
      </c>
      <c r="D20" s="102">
        <f t="shared" si="5"/>
        <v>0.84977200000000008</v>
      </c>
      <c r="E20" s="127">
        <f t="shared" si="6"/>
        <v>33.455590551181103</v>
      </c>
      <c r="F20" s="126">
        <f t="shared" si="7"/>
        <v>52100</v>
      </c>
      <c r="G20" s="101">
        <f t="shared" si="8"/>
        <v>2.1538000000000002E-2</v>
      </c>
      <c r="H20" s="102">
        <f t="shared" si="9"/>
        <v>1.1221298000000002</v>
      </c>
      <c r="I20" s="127">
        <f t="shared" si="10"/>
        <v>44.178338582677171</v>
      </c>
      <c r="J20" s="122">
        <f t="shared" si="0"/>
        <v>2.2000000000000002</v>
      </c>
      <c r="K20" s="103">
        <f t="shared" si="1"/>
        <v>0.59400000000000008</v>
      </c>
      <c r="L20" s="96"/>
      <c r="M20" s="7"/>
      <c r="N20" s="36"/>
      <c r="O20" s="99">
        <f t="shared" si="13"/>
        <v>2.8000000000000008E-3</v>
      </c>
      <c r="P20" s="99">
        <f t="shared" si="2"/>
        <v>1.958E-2</v>
      </c>
      <c r="Q20" s="7"/>
      <c r="R20" s="8"/>
      <c r="S20" s="7"/>
      <c r="T20" s="159">
        <f t="shared" si="14"/>
        <v>0.90000000000000013</v>
      </c>
      <c r="U20" s="164">
        <f t="shared" si="12"/>
        <v>1.4322000000000001</v>
      </c>
      <c r="X20" s="204"/>
      <c r="Y20" s="203">
        <v>8</v>
      </c>
    </row>
    <row r="21" spans="1:25" x14ac:dyDescent="0.25">
      <c r="A21" s="140">
        <f>IF(1.2&lt;H$48,"NA",1.2)</f>
        <v>1.2</v>
      </c>
      <c r="B21" s="128">
        <f t="shared" si="3"/>
        <v>39800</v>
      </c>
      <c r="C21" s="61">
        <f t="shared" si="4"/>
        <v>2.1600000000000001E-2</v>
      </c>
      <c r="D21" s="62">
        <f t="shared" si="5"/>
        <v>0.85968000000000011</v>
      </c>
      <c r="E21" s="16">
        <f t="shared" si="6"/>
        <v>33.845669291338588</v>
      </c>
      <c r="F21" s="128">
        <f t="shared" si="7"/>
        <v>47800</v>
      </c>
      <c r="G21" s="61">
        <f t="shared" si="8"/>
        <v>2.3760000000000003E-2</v>
      </c>
      <c r="H21" s="62">
        <f t="shared" si="9"/>
        <v>1.1357280000000001</v>
      </c>
      <c r="I21" s="16">
        <f t="shared" si="10"/>
        <v>44.713700787401578</v>
      </c>
      <c r="J21" s="123">
        <f t="shared" si="0"/>
        <v>2.4</v>
      </c>
      <c r="K21" s="104">
        <f t="shared" si="1"/>
        <v>0.64800000000000002</v>
      </c>
      <c r="L21" s="44"/>
      <c r="M21" s="7"/>
      <c r="N21" s="36"/>
      <c r="O21" s="99">
        <f t="shared" si="13"/>
        <v>3.0000000000000009E-3</v>
      </c>
      <c r="P21" s="99">
        <f t="shared" si="2"/>
        <v>2.1600000000000001E-2</v>
      </c>
      <c r="Q21" s="7"/>
      <c r="R21" s="8"/>
      <c r="S21" s="7"/>
      <c r="T21" s="47">
        <f t="shared" si="14"/>
        <v>1</v>
      </c>
      <c r="U21" s="162">
        <f t="shared" si="12"/>
        <v>1.4327999999999999</v>
      </c>
      <c r="X21" s="205"/>
      <c r="Y21" s="203">
        <v>9</v>
      </c>
    </row>
    <row r="22" spans="1:25" x14ac:dyDescent="0.25">
      <c r="A22" s="138">
        <f>IF(1.3&lt;H$48,"NA",1.3)</f>
        <v>1.3</v>
      </c>
      <c r="B22" s="126">
        <f t="shared" si="3"/>
        <v>36700</v>
      </c>
      <c r="C22" s="101">
        <f t="shared" si="4"/>
        <v>2.366E-2</v>
      </c>
      <c r="D22" s="102">
        <f t="shared" si="5"/>
        <v>0.86832200000000004</v>
      </c>
      <c r="E22" s="127">
        <f t="shared" si="6"/>
        <v>34.185905511811029</v>
      </c>
      <c r="F22" s="126">
        <f t="shared" si="7"/>
        <v>44100</v>
      </c>
      <c r="G22" s="101">
        <f t="shared" si="8"/>
        <v>2.6026000000000004E-2</v>
      </c>
      <c r="H22" s="102">
        <f t="shared" si="9"/>
        <v>1.1477466000000001</v>
      </c>
      <c r="I22" s="127">
        <f t="shared" si="10"/>
        <v>45.186874015748039</v>
      </c>
      <c r="J22" s="122">
        <f t="shared" si="0"/>
        <v>2.6</v>
      </c>
      <c r="K22" s="103">
        <f t="shared" si="1"/>
        <v>0.70200000000000007</v>
      </c>
      <c r="L22" s="96"/>
      <c r="M22" s="7"/>
      <c r="N22" s="36"/>
      <c r="O22" s="99">
        <f t="shared" si="13"/>
        <v>3.200000000000001E-3</v>
      </c>
      <c r="P22" s="99">
        <f t="shared" si="2"/>
        <v>2.366E-2</v>
      </c>
      <c r="Q22" s="7"/>
      <c r="R22" s="7"/>
      <c r="S22" s="7"/>
      <c r="T22" s="159">
        <f t="shared" si="14"/>
        <v>1.1000000000000001</v>
      </c>
      <c r="U22" s="164">
        <f t="shared" si="12"/>
        <v>1.4313</v>
      </c>
      <c r="X22" s="205"/>
      <c r="Y22" s="203">
        <v>10</v>
      </c>
    </row>
    <row r="23" spans="1:25" x14ac:dyDescent="0.25">
      <c r="A23" s="140">
        <f>IF(1.4&lt;H$48,"NA",1.4)</f>
        <v>1.4</v>
      </c>
      <c r="B23" s="128">
        <f t="shared" si="3"/>
        <v>34100</v>
      </c>
      <c r="C23" s="61">
        <f t="shared" si="4"/>
        <v>2.5759999999999998E-2</v>
      </c>
      <c r="D23" s="62">
        <f t="shared" si="5"/>
        <v>0.87841599999999997</v>
      </c>
      <c r="E23" s="16">
        <f t="shared" si="6"/>
        <v>34.58330708661417</v>
      </c>
      <c r="F23" s="128">
        <f t="shared" si="7"/>
        <v>40900</v>
      </c>
      <c r="G23" s="61">
        <f t="shared" si="8"/>
        <v>2.8336E-2</v>
      </c>
      <c r="H23" s="62">
        <f t="shared" si="9"/>
        <v>1.1589423999999999</v>
      </c>
      <c r="I23" s="16">
        <f t="shared" si="10"/>
        <v>45.627653543307083</v>
      </c>
      <c r="J23" s="123">
        <f t="shared" si="0"/>
        <v>2.8</v>
      </c>
      <c r="K23" s="104">
        <f t="shared" si="1"/>
        <v>0.75600000000000001</v>
      </c>
      <c r="L23" s="44"/>
      <c r="M23" s="7"/>
      <c r="N23" s="36"/>
      <c r="O23" s="99">
        <f t="shared" si="13"/>
        <v>3.4000000000000011E-3</v>
      </c>
      <c r="P23" s="99">
        <f t="shared" si="2"/>
        <v>2.5759999999999998E-2</v>
      </c>
      <c r="Q23" s="7"/>
      <c r="R23" s="7"/>
      <c r="S23" s="7"/>
      <c r="T23" s="47">
        <f t="shared" si="14"/>
        <v>1.2</v>
      </c>
      <c r="U23" s="162">
        <f t="shared" si="12"/>
        <v>1.4321999999999999</v>
      </c>
      <c r="X23" s="205"/>
      <c r="Y23" s="203">
        <v>11</v>
      </c>
    </row>
    <row r="24" spans="1:25" x14ac:dyDescent="0.25">
      <c r="A24" s="138">
        <f>IF(1.5&lt;H$48,"NA",1.5)</f>
        <v>1.5</v>
      </c>
      <c r="B24" s="126">
        <f t="shared" si="3"/>
        <v>31800</v>
      </c>
      <c r="C24" s="101">
        <f t="shared" si="4"/>
        <v>2.8124999999999997E-2</v>
      </c>
      <c r="D24" s="102">
        <f t="shared" si="5"/>
        <v>0.89437499999999992</v>
      </c>
      <c r="E24" s="127">
        <f t="shared" si="6"/>
        <v>35.211614173228341</v>
      </c>
      <c r="F24" s="126">
        <f t="shared" si="7"/>
        <v>38200</v>
      </c>
      <c r="G24" s="101">
        <f t="shared" si="8"/>
        <v>3.09375E-2</v>
      </c>
      <c r="H24" s="102">
        <f t="shared" si="9"/>
        <v>1.1818124999999999</v>
      </c>
      <c r="I24" s="127">
        <f t="shared" si="10"/>
        <v>46.528051181102363</v>
      </c>
      <c r="J24" s="122">
        <f t="shared" si="0"/>
        <v>3</v>
      </c>
      <c r="K24" s="103">
        <f t="shared" si="1"/>
        <v>0.81</v>
      </c>
      <c r="L24" s="96"/>
      <c r="M24" s="7"/>
      <c r="N24" s="36"/>
      <c r="O24" s="99">
        <f>O23+0.00035</f>
        <v>3.7500000000000012E-3</v>
      </c>
      <c r="P24" s="99">
        <f t="shared" si="2"/>
        <v>2.8124999999999997E-2</v>
      </c>
      <c r="Q24" s="7"/>
      <c r="R24" s="7"/>
      <c r="S24" s="7"/>
      <c r="T24" s="159">
        <f t="shared" si="14"/>
        <v>1.3</v>
      </c>
      <c r="U24" s="164">
        <f t="shared" si="12"/>
        <v>1.431</v>
      </c>
      <c r="X24" s="205"/>
      <c r="Y24" s="203">
        <v>12</v>
      </c>
    </row>
    <row r="25" spans="1:25" ht="16.5" thickBot="1" x14ac:dyDescent="0.3">
      <c r="A25" s="116">
        <v>1.6</v>
      </c>
      <c r="B25" s="128">
        <f t="shared" si="3"/>
        <v>29900</v>
      </c>
      <c r="C25" s="61">
        <f t="shared" si="4"/>
        <v>3.056E-2</v>
      </c>
      <c r="D25" s="62">
        <f t="shared" si="5"/>
        <v>0.913744</v>
      </c>
      <c r="E25" s="16">
        <f t="shared" si="6"/>
        <v>35.974173228346459</v>
      </c>
      <c r="F25" s="128">
        <f t="shared" si="7"/>
        <v>35800</v>
      </c>
      <c r="G25" s="61">
        <f t="shared" si="8"/>
        <v>3.3616E-2</v>
      </c>
      <c r="H25" s="62">
        <f t="shared" si="9"/>
        <v>1.2034528</v>
      </c>
      <c r="I25" s="16">
        <f t="shared" si="10"/>
        <v>47.380031496062998</v>
      </c>
      <c r="J25" s="123">
        <f t="shared" si="0"/>
        <v>3</v>
      </c>
      <c r="K25" s="104">
        <f t="shared" si="1"/>
        <v>0.8640000000000001</v>
      </c>
      <c r="L25" s="44"/>
      <c r="M25" s="7"/>
      <c r="N25" s="36"/>
      <c r="O25" s="99">
        <f t="shared" ref="O25:O39" si="15">O24+0.00035</f>
        <v>4.1000000000000012E-3</v>
      </c>
      <c r="P25" s="99">
        <f t="shared" si="2"/>
        <v>3.056E-2</v>
      </c>
      <c r="Q25" s="7"/>
      <c r="R25" s="7"/>
      <c r="S25" s="7"/>
      <c r="T25" s="47">
        <f t="shared" si="14"/>
        <v>1.4000000000000001</v>
      </c>
      <c r="U25" s="162">
        <f t="shared" si="12"/>
        <v>1.4352</v>
      </c>
      <c r="X25" s="206"/>
      <c r="Y25" s="207">
        <v>13</v>
      </c>
    </row>
    <row r="26" spans="1:25" x14ac:dyDescent="0.25">
      <c r="A26" s="115">
        <v>1.7</v>
      </c>
      <c r="B26" s="126">
        <f t="shared" si="3"/>
        <v>28100</v>
      </c>
      <c r="C26" s="101">
        <f t="shared" si="4"/>
        <v>3.3065000000000004E-2</v>
      </c>
      <c r="D26" s="102">
        <f t="shared" si="5"/>
        <v>0.92912650000000008</v>
      </c>
      <c r="E26" s="127">
        <f t="shared" si="6"/>
        <v>36.579783464566937</v>
      </c>
      <c r="F26" s="126">
        <f t="shared" si="7"/>
        <v>33700</v>
      </c>
      <c r="G26" s="101">
        <f t="shared" si="8"/>
        <v>3.6371500000000008E-2</v>
      </c>
      <c r="H26" s="102">
        <f t="shared" si="9"/>
        <v>1.2257195500000002</v>
      </c>
      <c r="I26" s="127">
        <f t="shared" si="10"/>
        <v>48.256675196850409</v>
      </c>
      <c r="J26" s="122">
        <f t="shared" si="0"/>
        <v>3</v>
      </c>
      <c r="K26" s="103">
        <f t="shared" si="1"/>
        <v>0.91800000000000004</v>
      </c>
      <c r="L26" s="96"/>
      <c r="M26" s="7"/>
      <c r="N26" s="36"/>
      <c r="O26" s="99">
        <f t="shared" si="15"/>
        <v>4.4500000000000008E-3</v>
      </c>
      <c r="P26" s="99">
        <f t="shared" si="2"/>
        <v>3.3065000000000004E-2</v>
      </c>
      <c r="Q26" s="7"/>
      <c r="R26" s="7"/>
      <c r="S26" s="7"/>
      <c r="T26" s="159">
        <f t="shared" si="14"/>
        <v>1.5</v>
      </c>
      <c r="U26" s="164">
        <f t="shared" si="12"/>
        <v>1.4330999999999998</v>
      </c>
      <c r="X26"/>
    </row>
    <row r="27" spans="1:25" x14ac:dyDescent="0.25">
      <c r="A27" s="116">
        <v>1.8</v>
      </c>
      <c r="B27" s="128">
        <f t="shared" si="3"/>
        <v>26500</v>
      </c>
      <c r="C27" s="61">
        <f t="shared" si="4"/>
        <v>3.5639999999999998E-2</v>
      </c>
      <c r="D27" s="62">
        <f t="shared" si="5"/>
        <v>0.94445999999999997</v>
      </c>
      <c r="E27" s="16">
        <f t="shared" si="6"/>
        <v>37.183464566929132</v>
      </c>
      <c r="F27" s="128">
        <f t="shared" si="7"/>
        <v>31800</v>
      </c>
      <c r="G27" s="61">
        <f t="shared" si="8"/>
        <v>3.9204000000000003E-2</v>
      </c>
      <c r="H27" s="62">
        <f t="shared" si="9"/>
        <v>1.2466872</v>
      </c>
      <c r="I27" s="16">
        <f t="shared" si="10"/>
        <v>49.082173228346463</v>
      </c>
      <c r="J27" s="123">
        <f t="shared" si="0"/>
        <v>3</v>
      </c>
      <c r="K27" s="104">
        <f t="shared" si="1"/>
        <v>0.97200000000000009</v>
      </c>
      <c r="L27" s="44"/>
      <c r="M27" s="7"/>
      <c r="N27" s="36"/>
      <c r="O27" s="99">
        <f t="shared" si="15"/>
        <v>4.8000000000000004E-3</v>
      </c>
      <c r="P27" s="99">
        <f t="shared" si="2"/>
        <v>3.5639999999999998E-2</v>
      </c>
      <c r="Q27" s="7"/>
      <c r="R27" s="7"/>
      <c r="S27" s="7"/>
      <c r="T27" s="47">
        <f t="shared" si="14"/>
        <v>1.6</v>
      </c>
      <c r="U27" s="162">
        <f t="shared" si="12"/>
        <v>1.431</v>
      </c>
      <c r="X27"/>
    </row>
    <row r="28" spans="1:25" x14ac:dyDescent="0.25">
      <c r="A28" s="115">
        <v>1.9</v>
      </c>
      <c r="B28" s="126">
        <f t="shared" si="3"/>
        <v>25100</v>
      </c>
      <c r="C28" s="101">
        <f t="shared" si="4"/>
        <v>3.8285E-2</v>
      </c>
      <c r="D28" s="102">
        <f t="shared" si="5"/>
        <v>0.96095350000000002</v>
      </c>
      <c r="E28" s="127">
        <f t="shared" si="6"/>
        <v>37.832814960629925</v>
      </c>
      <c r="F28" s="126">
        <f t="shared" si="7"/>
        <v>30200</v>
      </c>
      <c r="G28" s="101">
        <f t="shared" si="8"/>
        <v>4.2113500000000005E-2</v>
      </c>
      <c r="H28" s="102">
        <f t="shared" si="9"/>
        <v>1.2718277</v>
      </c>
      <c r="I28" s="127">
        <f t="shared" si="10"/>
        <v>50.071956692913389</v>
      </c>
      <c r="J28" s="122">
        <f t="shared" si="0"/>
        <v>3</v>
      </c>
      <c r="K28" s="103">
        <f t="shared" si="1"/>
        <v>1</v>
      </c>
      <c r="L28" s="96"/>
      <c r="M28" s="7"/>
      <c r="N28" s="36"/>
      <c r="O28" s="99">
        <f t="shared" si="15"/>
        <v>5.1500000000000001E-3</v>
      </c>
      <c r="P28" s="99">
        <f t="shared" si="2"/>
        <v>3.8285E-2</v>
      </c>
      <c r="Q28" s="7"/>
      <c r="R28" s="7"/>
      <c r="S28" s="7"/>
      <c r="T28" s="159">
        <f t="shared" si="14"/>
        <v>1.7</v>
      </c>
      <c r="U28" s="164">
        <f t="shared" si="12"/>
        <v>1.4306999999999999</v>
      </c>
      <c r="X28"/>
    </row>
    <row r="29" spans="1:25" x14ac:dyDescent="0.25">
      <c r="A29" s="116">
        <v>2</v>
      </c>
      <c r="B29" s="128">
        <f t="shared" si="3"/>
        <v>23900</v>
      </c>
      <c r="C29" s="61">
        <f t="shared" si="4"/>
        <v>4.0999999999999995E-2</v>
      </c>
      <c r="D29" s="62">
        <f t="shared" si="5"/>
        <v>0.97989999999999988</v>
      </c>
      <c r="E29" s="16">
        <f t="shared" si="6"/>
        <v>38.578740157480311</v>
      </c>
      <c r="F29" s="128">
        <f t="shared" si="7"/>
        <v>28700</v>
      </c>
      <c r="G29" s="61">
        <f t="shared" si="8"/>
        <v>4.5100000000000001E-2</v>
      </c>
      <c r="H29" s="62">
        <f t="shared" si="9"/>
        <v>1.29437</v>
      </c>
      <c r="I29" s="16">
        <f t="shared" si="10"/>
        <v>50.959448818897648</v>
      </c>
      <c r="J29" s="123">
        <f t="shared" si="0"/>
        <v>3</v>
      </c>
      <c r="K29" s="104">
        <f t="shared" si="1"/>
        <v>1</v>
      </c>
      <c r="L29" s="44"/>
      <c r="M29" s="7"/>
      <c r="N29" s="36"/>
      <c r="O29" s="99">
        <f t="shared" si="15"/>
        <v>5.4999999999999997E-3</v>
      </c>
      <c r="P29" s="99">
        <f t="shared" si="2"/>
        <v>4.0999999999999995E-2</v>
      </c>
      <c r="Q29" s="7"/>
      <c r="R29" s="7"/>
      <c r="S29" s="7"/>
      <c r="T29" s="47">
        <f t="shared" si="14"/>
        <v>1.8</v>
      </c>
      <c r="U29" s="162">
        <f t="shared" si="12"/>
        <v>1.4339999999999999</v>
      </c>
      <c r="X29"/>
    </row>
    <row r="30" spans="1:25" x14ac:dyDescent="0.25">
      <c r="A30" s="115">
        <v>2.1</v>
      </c>
      <c r="B30" s="126">
        <f t="shared" si="3"/>
        <v>22700</v>
      </c>
      <c r="C30" s="101">
        <f t="shared" si="4"/>
        <v>4.3785000000000004E-2</v>
      </c>
      <c r="D30" s="102">
        <f t="shared" si="5"/>
        <v>0.99391950000000007</v>
      </c>
      <c r="E30" s="127">
        <f t="shared" si="6"/>
        <v>39.130688976377961</v>
      </c>
      <c r="F30" s="126">
        <f t="shared" si="7"/>
        <v>27300</v>
      </c>
      <c r="G30" s="101">
        <f t="shared" si="8"/>
        <v>4.8163500000000012E-2</v>
      </c>
      <c r="H30" s="102">
        <f t="shared" si="9"/>
        <v>1.3148635500000003</v>
      </c>
      <c r="I30" s="127">
        <f t="shared" si="10"/>
        <v>51.766281496063009</v>
      </c>
      <c r="J30" s="122">
        <f t="shared" si="0"/>
        <v>3</v>
      </c>
      <c r="K30" s="103">
        <f t="shared" si="1"/>
        <v>1</v>
      </c>
      <c r="L30" s="96"/>
      <c r="M30" s="7"/>
      <c r="N30" s="36"/>
      <c r="O30" s="99">
        <f t="shared" si="15"/>
        <v>5.8499999999999993E-3</v>
      </c>
      <c r="P30" s="99">
        <f t="shared" si="2"/>
        <v>4.3785000000000004E-2</v>
      </c>
      <c r="Q30" s="7"/>
      <c r="R30" s="7"/>
      <c r="S30" s="7"/>
      <c r="T30" s="159">
        <f t="shared" si="14"/>
        <v>1.9000000000000001</v>
      </c>
      <c r="U30" s="164">
        <f t="shared" si="12"/>
        <v>1.4300999999999999</v>
      </c>
      <c r="X30"/>
    </row>
    <row r="31" spans="1:25" x14ac:dyDescent="0.25">
      <c r="A31" s="116">
        <v>2.2000000000000002</v>
      </c>
      <c r="B31" s="128">
        <f t="shared" si="3"/>
        <v>21700</v>
      </c>
      <c r="C31" s="61">
        <f t="shared" si="4"/>
        <v>4.6639999999999994E-2</v>
      </c>
      <c r="D31" s="62">
        <f t="shared" si="5"/>
        <v>1.0120879999999999</v>
      </c>
      <c r="E31" s="16">
        <f t="shared" si="6"/>
        <v>39.845984251968503</v>
      </c>
      <c r="F31" s="128">
        <f t="shared" si="7"/>
        <v>26100</v>
      </c>
      <c r="G31" s="61">
        <f t="shared" si="8"/>
        <v>5.1303999999999995E-2</v>
      </c>
      <c r="H31" s="62">
        <f t="shared" si="9"/>
        <v>1.3390343999999998</v>
      </c>
      <c r="I31" s="16">
        <f t="shared" si="10"/>
        <v>52.717889763779525</v>
      </c>
      <c r="J31" s="123">
        <f t="shared" si="0"/>
        <v>3</v>
      </c>
      <c r="K31" s="104">
        <f t="shared" si="1"/>
        <v>1</v>
      </c>
      <c r="L31" s="44"/>
      <c r="M31" s="7"/>
      <c r="N31" s="36"/>
      <c r="O31" s="99">
        <f t="shared" si="15"/>
        <v>6.1999999999999989E-3</v>
      </c>
      <c r="P31" s="99">
        <f t="shared" si="2"/>
        <v>4.6639999999999994E-2</v>
      </c>
      <c r="Q31" s="7"/>
      <c r="R31" s="7"/>
      <c r="S31" s="7"/>
      <c r="T31" s="47">
        <f t="shared" si="14"/>
        <v>2</v>
      </c>
      <c r="U31" s="162">
        <f t="shared" si="12"/>
        <v>1.4322000000000001</v>
      </c>
      <c r="X31"/>
    </row>
    <row r="32" spans="1:25" x14ac:dyDescent="0.25">
      <c r="A32" s="115">
        <v>2.2999999999999998</v>
      </c>
      <c r="B32" s="126">
        <f t="shared" si="3"/>
        <v>20800</v>
      </c>
      <c r="C32" s="101">
        <f t="shared" si="4"/>
        <v>4.9564999999999998E-2</v>
      </c>
      <c r="D32" s="102">
        <f t="shared" si="5"/>
        <v>1.0309520000000001</v>
      </c>
      <c r="E32" s="127">
        <f t="shared" si="6"/>
        <v>40.588661417322839</v>
      </c>
      <c r="F32" s="126">
        <f t="shared" si="7"/>
        <v>24900</v>
      </c>
      <c r="G32" s="101">
        <f t="shared" si="8"/>
        <v>5.4521500000000001E-2</v>
      </c>
      <c r="H32" s="102">
        <f t="shared" si="9"/>
        <v>1.3575853500000001</v>
      </c>
      <c r="I32" s="127">
        <f t="shared" si="10"/>
        <v>53.448242125984258</v>
      </c>
      <c r="J32" s="122">
        <f t="shared" si="0"/>
        <v>3</v>
      </c>
      <c r="K32" s="103">
        <f t="shared" si="1"/>
        <v>1</v>
      </c>
      <c r="L32" s="96"/>
      <c r="M32" s="7"/>
      <c r="N32" s="36"/>
      <c r="O32" s="99">
        <f t="shared" si="15"/>
        <v>6.5499999999999985E-3</v>
      </c>
      <c r="P32" s="99">
        <f t="shared" si="2"/>
        <v>4.9564999999999998E-2</v>
      </c>
      <c r="Q32" s="7"/>
      <c r="R32" s="7"/>
      <c r="S32" s="7"/>
      <c r="T32" s="159">
        <f t="shared" si="14"/>
        <v>2.0999999999999996</v>
      </c>
      <c r="U32" s="164">
        <f t="shared" si="12"/>
        <v>1.4351999999999998</v>
      </c>
      <c r="X32"/>
    </row>
    <row r="33" spans="1:24" x14ac:dyDescent="0.25">
      <c r="A33" s="116">
        <v>2.4</v>
      </c>
      <c r="B33" s="128">
        <f t="shared" si="3"/>
        <v>19900</v>
      </c>
      <c r="C33" s="61">
        <f t="shared" si="4"/>
        <v>5.2559999999999989E-2</v>
      </c>
      <c r="D33" s="62">
        <f t="shared" si="5"/>
        <v>1.0459439999999998</v>
      </c>
      <c r="E33" s="16">
        <f t="shared" si="6"/>
        <v>41.178897637795266</v>
      </c>
      <c r="F33" s="128">
        <f t="shared" si="7"/>
        <v>23900</v>
      </c>
      <c r="G33" s="61">
        <f t="shared" si="8"/>
        <v>5.7815999999999992E-2</v>
      </c>
      <c r="H33" s="62">
        <f t="shared" si="9"/>
        <v>1.3818023999999998</v>
      </c>
      <c r="I33" s="16">
        <f t="shared" si="10"/>
        <v>54.401669291338578</v>
      </c>
      <c r="J33" s="123">
        <f t="shared" si="0"/>
        <v>3</v>
      </c>
      <c r="K33" s="104">
        <f t="shared" si="1"/>
        <v>1</v>
      </c>
      <c r="L33" s="44"/>
      <c r="M33" s="7"/>
      <c r="N33" s="36"/>
      <c r="O33" s="99">
        <f t="shared" si="15"/>
        <v>6.8999999999999981E-3</v>
      </c>
      <c r="P33" s="99">
        <f t="shared" si="2"/>
        <v>5.2559999999999989E-2</v>
      </c>
      <c r="Q33" s="7"/>
      <c r="R33" s="7"/>
      <c r="S33" s="7"/>
      <c r="T33" s="47">
        <f t="shared" si="14"/>
        <v>2.1999999999999997</v>
      </c>
      <c r="U33" s="162">
        <f t="shared" si="12"/>
        <v>1.4327999999999999</v>
      </c>
    </row>
    <row r="34" spans="1:24" x14ac:dyDescent="0.25">
      <c r="A34" s="115">
        <v>2.5</v>
      </c>
      <c r="B34" s="126">
        <f t="shared" si="3"/>
        <v>19100</v>
      </c>
      <c r="C34" s="101">
        <f t="shared" si="4"/>
        <v>5.5624999999999994E-2</v>
      </c>
      <c r="D34" s="102">
        <f t="shared" si="5"/>
        <v>1.0624374999999997</v>
      </c>
      <c r="E34" s="127">
        <f t="shared" si="6"/>
        <v>41.828248031496059</v>
      </c>
      <c r="F34" s="126">
        <f t="shared" si="7"/>
        <v>22900</v>
      </c>
      <c r="G34" s="101">
        <f t="shared" si="8"/>
        <v>6.1187499999999999E-2</v>
      </c>
      <c r="H34" s="102">
        <f t="shared" si="9"/>
        <v>1.40119375</v>
      </c>
      <c r="I34" s="127">
        <f t="shared" si="10"/>
        <v>55.165108267716533</v>
      </c>
      <c r="J34" s="122">
        <f t="shared" si="0"/>
        <v>3</v>
      </c>
      <c r="K34" s="103">
        <f t="shared" si="1"/>
        <v>1</v>
      </c>
      <c r="L34" s="96"/>
      <c r="M34" s="7"/>
      <c r="N34" s="36"/>
      <c r="O34" s="99">
        <f t="shared" si="15"/>
        <v>7.2499999999999978E-3</v>
      </c>
      <c r="P34" s="99">
        <f t="shared" si="2"/>
        <v>5.5624999999999994E-2</v>
      </c>
      <c r="Q34" s="7"/>
      <c r="R34" s="7"/>
      <c r="S34" s="7"/>
      <c r="T34" s="159">
        <f t="shared" si="14"/>
        <v>2.2999999999999998</v>
      </c>
      <c r="U34" s="164">
        <f t="shared" si="12"/>
        <v>1.4325000000000001</v>
      </c>
    </row>
    <row r="35" spans="1:24" x14ac:dyDescent="0.25">
      <c r="A35" s="116">
        <v>2.6</v>
      </c>
      <c r="B35" s="128">
        <f t="shared" si="3"/>
        <v>18400</v>
      </c>
      <c r="C35" s="61">
        <f t="shared" si="4"/>
        <v>5.8759999999999986E-2</v>
      </c>
      <c r="D35" s="62">
        <f t="shared" si="5"/>
        <v>1.0811839999999997</v>
      </c>
      <c r="E35" s="16">
        <f t="shared" si="6"/>
        <v>42.566299212598416</v>
      </c>
      <c r="F35" s="128">
        <f t="shared" si="7"/>
        <v>22000</v>
      </c>
      <c r="G35" s="61">
        <f t="shared" si="8"/>
        <v>6.4635999999999985E-2</v>
      </c>
      <c r="H35" s="62">
        <f t="shared" si="9"/>
        <v>1.4219919999999997</v>
      </c>
      <c r="I35" s="16">
        <f t="shared" si="10"/>
        <v>55.983937007874012</v>
      </c>
      <c r="J35" s="123">
        <f t="shared" si="0"/>
        <v>3</v>
      </c>
      <c r="K35" s="104">
        <f t="shared" si="1"/>
        <v>1</v>
      </c>
      <c r="L35" s="44"/>
      <c r="M35" s="7"/>
      <c r="N35" s="36"/>
      <c r="O35" s="99">
        <f t="shared" si="15"/>
        <v>7.5999999999999974E-3</v>
      </c>
      <c r="P35" s="99">
        <f t="shared" si="2"/>
        <v>5.8759999999999986E-2</v>
      </c>
      <c r="Q35" s="7"/>
      <c r="R35" s="7"/>
      <c r="S35" s="7"/>
      <c r="T35" s="47">
        <f t="shared" si="14"/>
        <v>2.4</v>
      </c>
      <c r="U35" s="162">
        <f t="shared" si="12"/>
        <v>1.4352</v>
      </c>
    </row>
    <row r="36" spans="1:24" x14ac:dyDescent="0.25">
      <c r="A36" s="115">
        <v>2.7</v>
      </c>
      <c r="B36" s="126">
        <f t="shared" si="3"/>
        <v>17700</v>
      </c>
      <c r="C36" s="101">
        <f t="shared" si="4"/>
        <v>6.1964999999999999E-2</v>
      </c>
      <c r="D36" s="102">
        <f t="shared" si="5"/>
        <v>1.0967805000000002</v>
      </c>
      <c r="E36" s="127">
        <f t="shared" si="6"/>
        <v>43.180334645669298</v>
      </c>
      <c r="F36" s="126">
        <f t="shared" si="7"/>
        <v>21200</v>
      </c>
      <c r="G36" s="101">
        <f t="shared" si="8"/>
        <v>6.81615E-2</v>
      </c>
      <c r="H36" s="102">
        <f t="shared" si="9"/>
        <v>1.4450238</v>
      </c>
      <c r="I36" s="127">
        <f t="shared" si="10"/>
        <v>56.890700787401578</v>
      </c>
      <c r="J36" s="122">
        <f t="shared" si="0"/>
        <v>3</v>
      </c>
      <c r="K36" s="103">
        <f t="shared" si="1"/>
        <v>1</v>
      </c>
      <c r="L36" s="96"/>
      <c r="M36" s="7"/>
      <c r="N36" s="36"/>
      <c r="O36" s="99">
        <f t="shared" si="15"/>
        <v>7.949999999999997E-3</v>
      </c>
      <c r="P36" s="99">
        <f t="shared" si="2"/>
        <v>6.1964999999999999E-2</v>
      </c>
      <c r="Q36" s="7"/>
      <c r="R36" s="7"/>
      <c r="S36" s="7"/>
      <c r="T36" s="159">
        <f t="shared" si="14"/>
        <v>2.5</v>
      </c>
      <c r="U36" s="164">
        <f t="shared" si="12"/>
        <v>1.4337</v>
      </c>
    </row>
    <row r="37" spans="1:24" x14ac:dyDescent="0.25">
      <c r="A37" s="116">
        <v>2.8</v>
      </c>
      <c r="B37" s="128">
        <f t="shared" si="3"/>
        <v>17100</v>
      </c>
      <c r="C37" s="61">
        <f t="shared" si="4"/>
        <v>6.5239999999999979E-2</v>
      </c>
      <c r="D37" s="62">
        <f t="shared" si="5"/>
        <v>1.1156039999999996</v>
      </c>
      <c r="E37" s="16">
        <f t="shared" si="6"/>
        <v>43.921417322834635</v>
      </c>
      <c r="F37" s="128">
        <f t="shared" si="7"/>
        <v>20500</v>
      </c>
      <c r="G37" s="61">
        <f t="shared" si="8"/>
        <v>7.1763999999999981E-2</v>
      </c>
      <c r="H37" s="62">
        <f t="shared" si="9"/>
        <v>1.4711619999999996</v>
      </c>
      <c r="I37" s="16">
        <f t="shared" si="10"/>
        <v>57.919763779527543</v>
      </c>
      <c r="J37" s="123">
        <f t="shared" si="0"/>
        <v>3</v>
      </c>
      <c r="K37" s="104">
        <f t="shared" si="1"/>
        <v>1</v>
      </c>
      <c r="L37" s="44"/>
      <c r="M37" s="7"/>
      <c r="N37" s="36"/>
      <c r="O37" s="99">
        <f t="shared" si="15"/>
        <v>8.2999999999999966E-3</v>
      </c>
      <c r="P37" s="99">
        <f t="shared" si="2"/>
        <v>6.5239999999999979E-2</v>
      </c>
      <c r="Q37" s="7"/>
      <c r="R37" s="7"/>
      <c r="S37" s="7"/>
      <c r="T37" s="47">
        <f t="shared" si="14"/>
        <v>2.5999999999999996</v>
      </c>
      <c r="U37" s="162">
        <f t="shared" si="12"/>
        <v>1.4363999999999999</v>
      </c>
    </row>
    <row r="38" spans="1:24" x14ac:dyDescent="0.25">
      <c r="A38" s="115">
        <v>2.9</v>
      </c>
      <c r="B38" s="126">
        <f t="shared" si="3"/>
        <v>16500</v>
      </c>
      <c r="C38" s="101">
        <f t="shared" si="4"/>
        <v>6.8584999999999993E-2</v>
      </c>
      <c r="D38" s="102">
        <f t="shared" si="5"/>
        <v>1.1316525</v>
      </c>
      <c r="E38" s="127">
        <f t="shared" si="6"/>
        <v>44.553248031496061</v>
      </c>
      <c r="F38" s="126">
        <f t="shared" si="7"/>
        <v>19800</v>
      </c>
      <c r="G38" s="101">
        <f t="shared" si="8"/>
        <v>7.5443499999999997E-2</v>
      </c>
      <c r="H38" s="102">
        <f t="shared" si="9"/>
        <v>1.4937813</v>
      </c>
      <c r="I38" s="127">
        <f t="shared" si="10"/>
        <v>58.810287401574804</v>
      </c>
      <c r="J38" s="122">
        <f t="shared" si="0"/>
        <v>3</v>
      </c>
      <c r="K38" s="103">
        <f t="shared" si="1"/>
        <v>1</v>
      </c>
      <c r="L38" s="96"/>
      <c r="M38" s="7"/>
      <c r="N38" s="36"/>
      <c r="O38" s="99">
        <f t="shared" si="15"/>
        <v>8.6499999999999962E-3</v>
      </c>
      <c r="P38" s="99">
        <f t="shared" si="2"/>
        <v>6.8584999999999993E-2</v>
      </c>
      <c r="Q38" s="7"/>
      <c r="R38" s="7"/>
      <c r="S38" s="7"/>
      <c r="T38" s="159">
        <f t="shared" si="14"/>
        <v>2.6999999999999997</v>
      </c>
      <c r="U38" s="164">
        <f t="shared" si="12"/>
        <v>1.4355</v>
      </c>
    </row>
    <row r="39" spans="1:24" ht="16.5" thickBot="1" x14ac:dyDescent="0.3">
      <c r="A39" s="117">
        <v>3</v>
      </c>
      <c r="B39" s="129">
        <f t="shared" si="3"/>
        <v>15900</v>
      </c>
      <c r="C39" s="130">
        <f t="shared" si="4"/>
        <v>7.1999999999999981E-2</v>
      </c>
      <c r="D39" s="131">
        <f t="shared" si="5"/>
        <v>1.1447999999999998</v>
      </c>
      <c r="E39" s="17">
        <f t="shared" si="6"/>
        <v>45.070866141732274</v>
      </c>
      <c r="F39" s="129">
        <f t="shared" si="7"/>
        <v>19100</v>
      </c>
      <c r="G39" s="130">
        <f t="shared" si="8"/>
        <v>7.9199999999999979E-2</v>
      </c>
      <c r="H39" s="131">
        <f t="shared" si="9"/>
        <v>1.5127199999999996</v>
      </c>
      <c r="I39" s="17">
        <f t="shared" si="10"/>
        <v>59.555905511811012</v>
      </c>
      <c r="J39" s="123">
        <f t="shared" si="0"/>
        <v>3</v>
      </c>
      <c r="K39" s="104">
        <f t="shared" si="1"/>
        <v>1</v>
      </c>
      <c r="L39" s="45"/>
      <c r="M39" s="7"/>
      <c r="N39" s="36"/>
      <c r="O39" s="99">
        <f t="shared" si="15"/>
        <v>8.9999999999999959E-3</v>
      </c>
      <c r="P39" s="99">
        <f t="shared" si="2"/>
        <v>7.1999999999999981E-2</v>
      </c>
      <c r="Q39" s="7"/>
      <c r="R39" s="7"/>
      <c r="S39" s="7"/>
      <c r="T39" s="47">
        <f t="shared" si="14"/>
        <v>2.8</v>
      </c>
      <c r="U39" s="162">
        <f t="shared" si="12"/>
        <v>1.431</v>
      </c>
    </row>
    <row r="40" spans="1:24" x14ac:dyDescent="0.25">
      <c r="A40" s="7"/>
      <c r="B40" s="7"/>
      <c r="C40" s="7"/>
      <c r="D40" s="9"/>
      <c r="E40" s="9"/>
      <c r="F40" s="9"/>
      <c r="G40" s="8"/>
      <c r="H40" s="9"/>
      <c r="I40" s="7"/>
      <c r="J40" s="18"/>
      <c r="K40" s="28" t="s">
        <v>61</v>
      </c>
      <c r="L40" s="7"/>
      <c r="M40" s="7"/>
      <c r="N40" s="7"/>
      <c r="O40" s="34"/>
      <c r="P40" s="34"/>
      <c r="Q40" s="7"/>
      <c r="R40" s="7"/>
      <c r="S40" s="7"/>
      <c r="T40" s="7"/>
      <c r="U40" s="7"/>
    </row>
    <row r="41" spans="1:24" x14ac:dyDescent="0.25">
      <c r="A41" s="7"/>
      <c r="B41" s="7"/>
      <c r="C41" s="7"/>
      <c r="D41" s="20"/>
      <c r="E41" s="20"/>
      <c r="F41" s="9"/>
      <c r="G41" s="8"/>
      <c r="H41" s="8"/>
      <c r="I41" s="8"/>
      <c r="J41" s="8"/>
      <c r="K41" s="8"/>
      <c r="L41" s="7"/>
      <c r="M41" s="32"/>
      <c r="N41" s="32"/>
      <c r="O41" s="33"/>
      <c r="P41" s="34"/>
      <c r="Q41" s="7"/>
      <c r="R41" s="7"/>
      <c r="S41" s="7"/>
      <c r="T41" s="7"/>
      <c r="U41" s="7"/>
    </row>
    <row r="42" spans="1:24" x14ac:dyDescent="0.25">
      <c r="A42" s="8"/>
      <c r="B42" s="19"/>
      <c r="C42" s="20"/>
      <c r="D42" s="20"/>
      <c r="E42" s="20"/>
      <c r="F42" s="9"/>
      <c r="G42" s="8"/>
      <c r="H42" s="8"/>
      <c r="I42" s="8"/>
      <c r="J42" s="7"/>
      <c r="K42" s="7"/>
      <c r="L42" s="1"/>
      <c r="M42" s="1"/>
      <c r="N42" s="1"/>
      <c r="O42" s="1"/>
      <c r="P42" s="1"/>
      <c r="Q42" s="1"/>
      <c r="R42" s="7"/>
      <c r="S42" s="7"/>
      <c r="T42" s="7"/>
      <c r="U42" s="7"/>
    </row>
    <row r="43" spans="1:24" ht="25.5" x14ac:dyDescent="0.35">
      <c r="I43" s="40"/>
      <c r="J43" s="7"/>
      <c r="K43" s="1"/>
      <c r="L43" s="1"/>
      <c r="M43" s="1"/>
      <c r="N43" s="1"/>
      <c r="O43" s="1"/>
      <c r="P43" s="1"/>
      <c r="Q43" s="1"/>
      <c r="R43" s="40"/>
      <c r="S43" s="41"/>
      <c r="T43" s="41"/>
      <c r="U43" s="41"/>
    </row>
    <row r="44" spans="1:24" ht="25.5" x14ac:dyDescent="0.35">
      <c r="A44" s="256" t="s">
        <v>15</v>
      </c>
      <c r="B44" s="257"/>
      <c r="C44" s="258" t="s">
        <v>16</v>
      </c>
      <c r="D44" s="259"/>
      <c r="E44" s="259"/>
      <c r="F44" s="260"/>
      <c r="G44" s="39"/>
      <c r="H44" s="40"/>
      <c r="I44" s="1"/>
      <c r="J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4" ht="16.5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4" ht="16.5" thickBot="1" x14ac:dyDescent="0.3">
      <c r="A46" s="261" t="s">
        <v>0</v>
      </c>
      <c r="B46" s="262"/>
      <c r="C46" s="154" t="s">
        <v>17</v>
      </c>
      <c r="D46" s="155" t="s">
        <v>18</v>
      </c>
      <c r="E46" s="155" t="s">
        <v>19</v>
      </c>
      <c r="F46" s="156" t="s">
        <v>11</v>
      </c>
      <c r="G46" s="157" t="s">
        <v>27</v>
      </c>
      <c r="H46" s="158" t="s">
        <v>34</v>
      </c>
      <c r="I46" s="265" t="s">
        <v>2</v>
      </c>
      <c r="J46" s="266"/>
      <c r="K46" s="266"/>
      <c r="L46" s="267"/>
      <c r="M46" s="1"/>
      <c r="N46" s="1"/>
      <c r="O46" s="1"/>
      <c r="P46" s="1"/>
      <c r="Q46" s="1"/>
      <c r="R46" s="1"/>
      <c r="S46" s="1"/>
      <c r="T46" s="1"/>
      <c r="U46" s="1"/>
    </row>
    <row r="47" spans="1:24" s="64" customFormat="1" ht="16.5" thickBot="1" x14ac:dyDescent="0.3">
      <c r="A47" s="5"/>
      <c r="B47" s="1"/>
      <c r="C47" s="150" t="s">
        <v>5</v>
      </c>
      <c r="D47" s="150" t="s">
        <v>5</v>
      </c>
      <c r="E47" s="150" t="s">
        <v>14</v>
      </c>
      <c r="F47" s="151" t="s">
        <v>3</v>
      </c>
      <c r="G47" s="152" t="s">
        <v>14</v>
      </c>
      <c r="H47" s="153" t="s">
        <v>35</v>
      </c>
      <c r="I47" s="261"/>
      <c r="J47" s="262"/>
      <c r="M47" s="68"/>
      <c r="N47" s="68"/>
      <c r="O47" s="68"/>
      <c r="P47" s="68"/>
      <c r="Q47" s="68"/>
      <c r="R47" s="68"/>
      <c r="S47" s="68"/>
      <c r="T47" s="68"/>
      <c r="U47" s="68"/>
      <c r="X47" s="108"/>
    </row>
    <row r="48" spans="1:24" s="81" customFormat="1" ht="17.25" customHeight="1" thickTop="1" thickBot="1" x14ac:dyDescent="0.3">
      <c r="A48" s="263" t="str">
        <f>B2</f>
        <v>PE, PTFE, PMMA, Polyimid Flex</v>
      </c>
      <c r="B48" s="269"/>
      <c r="C48" s="80">
        <f t="shared" ref="C48:L48" si="16">IF($B$2=$A50,C50)+IF($B$2=$A51,C51)+IF($B$2=$A52,C52)+IF($B$2=$A53,C53)+IF($B$2=$A54,C54)+IF($B$2=$A55,C55)+IF($B$2=$A56,C56)+IF($B$2=$A57,C57)+IF($B$2=$A58,C58)+IF($B$2=$A59,C59)+IF($B$2=$A60,C60)+IF($B$2=$A61,C61)+IF($B$2=$A62,C62)</f>
        <v>150</v>
      </c>
      <c r="D48" s="80">
        <f t="shared" si="16"/>
        <v>180</v>
      </c>
      <c r="E48" s="80">
        <f t="shared" si="16"/>
        <v>1.5</v>
      </c>
      <c r="F48" s="80">
        <f t="shared" si="16"/>
        <v>3</v>
      </c>
      <c r="G48" s="80">
        <f t="shared" si="16"/>
        <v>2</v>
      </c>
      <c r="H48" s="146">
        <f t="shared" si="16"/>
        <v>0.5</v>
      </c>
      <c r="I48" s="147"/>
      <c r="J48" s="148"/>
      <c r="K48" s="148"/>
      <c r="L48" s="149">
        <f t="shared" si="16"/>
        <v>3</v>
      </c>
      <c r="M48" s="95"/>
      <c r="N48" s="95"/>
      <c r="O48" s="95"/>
      <c r="P48" s="95"/>
      <c r="Q48" s="95"/>
      <c r="R48" s="95"/>
      <c r="S48" s="95"/>
      <c r="T48" s="95"/>
      <c r="U48" s="95"/>
      <c r="V48" s="95"/>
      <c r="X48" s="108"/>
    </row>
    <row r="49" spans="1:21" customFormat="1" ht="17.25" thickTop="1" thickBot="1" x14ac:dyDescent="0.3">
      <c r="A49" s="64"/>
      <c r="B49" s="26"/>
      <c r="C49" s="26"/>
      <c r="D49" s="26"/>
      <c r="E49" s="65"/>
      <c r="F49" s="26"/>
      <c r="G49" s="98"/>
      <c r="H49" s="136"/>
      <c r="I49" s="1"/>
      <c r="M49" s="1"/>
      <c r="N49" s="1"/>
      <c r="O49" s="1"/>
      <c r="P49" s="1"/>
      <c r="Q49" s="1"/>
      <c r="R49" s="1"/>
      <c r="S49" s="1"/>
      <c r="T49" s="1"/>
      <c r="U49" s="1"/>
    </row>
    <row r="50" spans="1:21" customFormat="1" ht="15" x14ac:dyDescent="0.25">
      <c r="A50" s="251" t="s">
        <v>25</v>
      </c>
      <c r="B50" s="252"/>
      <c r="C50" s="21">
        <v>150</v>
      </c>
      <c r="D50" s="21">
        <v>200</v>
      </c>
      <c r="E50" s="66">
        <v>1</v>
      </c>
      <c r="F50" s="105">
        <v>6</v>
      </c>
      <c r="G50" s="97">
        <v>3</v>
      </c>
      <c r="H50" s="97">
        <v>0.2</v>
      </c>
      <c r="I50" s="141" t="s">
        <v>40</v>
      </c>
      <c r="L50">
        <v>1</v>
      </c>
      <c r="M50" s="1"/>
      <c r="N50" s="1"/>
      <c r="O50" s="1"/>
      <c r="P50" s="1"/>
      <c r="Q50" s="1"/>
      <c r="R50" s="1"/>
      <c r="S50" s="1"/>
      <c r="T50" s="1"/>
      <c r="U50" s="1"/>
    </row>
    <row r="51" spans="1:21" customFormat="1" ht="15" x14ac:dyDescent="0.25">
      <c r="A51" s="251" t="s">
        <v>33</v>
      </c>
      <c r="B51" s="252"/>
      <c r="C51" s="23">
        <v>150</v>
      </c>
      <c r="D51" s="23">
        <v>180</v>
      </c>
      <c r="E51" s="67">
        <v>0.8</v>
      </c>
      <c r="F51" s="24">
        <v>3</v>
      </c>
      <c r="G51" s="97">
        <f>F51/1.5</f>
        <v>2</v>
      </c>
      <c r="H51" s="97">
        <v>0.5</v>
      </c>
      <c r="I51" s="141" t="s">
        <v>36</v>
      </c>
      <c r="L51">
        <v>2</v>
      </c>
      <c r="M51" s="1"/>
      <c r="N51" s="1"/>
      <c r="O51" s="1"/>
      <c r="P51" s="1"/>
    </row>
    <row r="52" spans="1:21" customFormat="1" ht="15" x14ac:dyDescent="0.25">
      <c r="A52" s="251" t="s">
        <v>26</v>
      </c>
      <c r="B52" s="252"/>
      <c r="C52" s="23">
        <v>150</v>
      </c>
      <c r="D52" s="23">
        <v>180</v>
      </c>
      <c r="E52" s="23">
        <v>1.5</v>
      </c>
      <c r="F52" s="24">
        <v>3</v>
      </c>
      <c r="G52" s="97">
        <f>F52/1.5</f>
        <v>2</v>
      </c>
      <c r="H52" s="97">
        <v>0.5</v>
      </c>
      <c r="I52" s="141" t="s">
        <v>37</v>
      </c>
      <c r="L52">
        <v>3</v>
      </c>
      <c r="M52" s="1"/>
      <c r="N52" s="1"/>
      <c r="O52" s="1"/>
      <c r="P52" s="1"/>
    </row>
    <row r="53" spans="1:21" customFormat="1" ht="15" x14ac:dyDescent="0.25">
      <c r="A53" s="251" t="s">
        <v>20</v>
      </c>
      <c r="B53" s="268"/>
      <c r="C53" s="23">
        <v>100</v>
      </c>
      <c r="D53" s="23">
        <v>150</v>
      </c>
      <c r="E53" s="23">
        <v>0.3</v>
      </c>
      <c r="F53" s="25">
        <v>1.5</v>
      </c>
      <c r="G53" s="97">
        <f>F53/1.5</f>
        <v>1</v>
      </c>
      <c r="H53" s="97">
        <v>1</v>
      </c>
      <c r="I53" s="141" t="s">
        <v>21</v>
      </c>
      <c r="L53">
        <v>4</v>
      </c>
      <c r="M53" s="1"/>
      <c r="N53" s="1"/>
      <c r="O53" s="1"/>
      <c r="P53" s="1"/>
    </row>
    <row r="54" spans="1:21" customFormat="1" ht="15" x14ac:dyDescent="0.25">
      <c r="A54" s="251" t="s">
        <v>24</v>
      </c>
      <c r="B54" s="252"/>
      <c r="C54" s="23">
        <v>200</v>
      </c>
      <c r="D54" s="23">
        <v>250</v>
      </c>
      <c r="E54" s="23">
        <v>0.5</v>
      </c>
      <c r="F54" s="25">
        <v>1.5</v>
      </c>
      <c r="G54" s="97">
        <f>F54/1.5</f>
        <v>1</v>
      </c>
      <c r="H54" s="97">
        <v>0.8</v>
      </c>
      <c r="I54" s="141" t="s">
        <v>22</v>
      </c>
      <c r="L54">
        <v>5</v>
      </c>
      <c r="M54" s="1"/>
      <c r="N54" s="1"/>
      <c r="O54" s="1"/>
      <c r="P54" s="1"/>
    </row>
    <row r="55" spans="1:21" customFormat="1" ht="15" x14ac:dyDescent="0.25">
      <c r="A55" s="251" t="s">
        <v>32</v>
      </c>
      <c r="B55" s="252"/>
      <c r="C55" s="23">
        <v>200</v>
      </c>
      <c r="D55" s="23">
        <v>250</v>
      </c>
      <c r="E55" s="23">
        <v>0.5</v>
      </c>
      <c r="F55" s="24">
        <v>3</v>
      </c>
      <c r="G55" s="97">
        <f>F55/1.5</f>
        <v>2</v>
      </c>
      <c r="H55" s="97">
        <v>0.8</v>
      </c>
      <c r="I55" s="141" t="s">
        <v>23</v>
      </c>
      <c r="L55">
        <v>6</v>
      </c>
      <c r="M55" s="1"/>
      <c r="N55" s="1"/>
      <c r="O55" s="1"/>
      <c r="P55" s="1"/>
    </row>
    <row r="56" spans="1:21" customFormat="1" ht="15" x14ac:dyDescent="0.25">
      <c r="A56" s="251"/>
      <c r="B56" s="252"/>
      <c r="C56" s="23"/>
      <c r="D56" s="23"/>
      <c r="E56" s="23"/>
      <c r="F56" s="24"/>
      <c r="G56" s="97"/>
      <c r="H56" s="97"/>
      <c r="I56" s="142"/>
      <c r="L56">
        <v>7</v>
      </c>
      <c r="M56" s="1"/>
      <c r="N56" s="1"/>
      <c r="O56" s="1"/>
      <c r="P56" s="1"/>
    </row>
    <row r="57" spans="1:21" customFormat="1" ht="15" x14ac:dyDescent="0.25">
      <c r="A57" s="251"/>
      <c r="B57" s="252"/>
      <c r="C57" s="23"/>
      <c r="D57" s="23"/>
      <c r="E57" s="23"/>
      <c r="F57" s="24"/>
      <c r="G57" s="97"/>
      <c r="H57" s="97"/>
      <c r="I57" s="142"/>
      <c r="L57">
        <v>8</v>
      </c>
      <c r="M57" s="1"/>
      <c r="N57" s="1"/>
      <c r="O57" s="1"/>
      <c r="P57" s="1"/>
    </row>
    <row r="58" spans="1:21" customFormat="1" ht="15" x14ac:dyDescent="0.25">
      <c r="A58" s="251"/>
      <c r="B58" s="252"/>
      <c r="C58" s="23"/>
      <c r="D58" s="23"/>
      <c r="E58" s="67"/>
      <c r="F58" s="24"/>
      <c r="G58" s="97"/>
      <c r="H58" s="135"/>
      <c r="I58" s="142"/>
      <c r="L58">
        <v>9</v>
      </c>
      <c r="M58" s="1"/>
      <c r="N58" s="1"/>
      <c r="O58" s="1"/>
      <c r="P58" s="1"/>
    </row>
    <row r="59" spans="1:21" customFormat="1" ht="15" x14ac:dyDescent="0.25">
      <c r="A59" s="251"/>
      <c r="B59" s="252"/>
      <c r="C59" s="23"/>
      <c r="D59" s="23"/>
      <c r="E59" s="23"/>
      <c r="F59" s="24"/>
      <c r="G59" s="97"/>
      <c r="H59" s="135"/>
      <c r="I59" s="142"/>
      <c r="L59">
        <v>10</v>
      </c>
      <c r="M59" s="1"/>
      <c r="N59" s="1"/>
      <c r="O59" s="1"/>
      <c r="P59" s="1"/>
    </row>
    <row r="60" spans="1:21" customFormat="1" ht="15" x14ac:dyDescent="0.25">
      <c r="A60" s="251"/>
      <c r="B60" s="252"/>
      <c r="C60" s="23"/>
      <c r="D60" s="23"/>
      <c r="E60" s="23"/>
      <c r="F60" s="25"/>
      <c r="G60" s="97"/>
      <c r="H60" s="135"/>
      <c r="I60" s="142"/>
      <c r="L60">
        <v>11</v>
      </c>
      <c r="M60" s="1"/>
      <c r="N60" s="1"/>
      <c r="O60" s="1"/>
      <c r="P60" s="1"/>
    </row>
    <row r="61" spans="1:21" customFormat="1" ht="15" x14ac:dyDescent="0.25">
      <c r="A61" s="251"/>
      <c r="B61" s="252"/>
      <c r="C61" s="23"/>
      <c r="D61" s="23"/>
      <c r="E61" s="23"/>
      <c r="F61" s="25"/>
      <c r="G61" s="97"/>
      <c r="H61" s="135"/>
      <c r="I61" s="142"/>
      <c r="L61">
        <v>12</v>
      </c>
      <c r="M61" s="1"/>
      <c r="N61" s="1"/>
      <c r="O61" s="1"/>
      <c r="P61" s="1"/>
    </row>
    <row r="62" spans="1:21" customFormat="1" ht="15" x14ac:dyDescent="0.25">
      <c r="A62" s="251"/>
      <c r="B62" s="252"/>
      <c r="C62" s="23"/>
      <c r="D62" s="23"/>
      <c r="E62" s="23"/>
      <c r="F62" s="24"/>
      <c r="G62" s="97"/>
      <c r="H62" s="135"/>
      <c r="I62" s="142"/>
      <c r="L62">
        <v>13</v>
      </c>
      <c r="M62" s="2"/>
      <c r="N62" s="1"/>
      <c r="O62" s="35"/>
      <c r="P62" s="1"/>
      <c r="Q62" s="1"/>
      <c r="R62" s="1"/>
      <c r="S62" s="1"/>
      <c r="T62" s="1"/>
      <c r="U62" s="1"/>
    </row>
    <row r="63" spans="1:21" customFormat="1" ht="15" x14ac:dyDescent="0.25">
      <c r="K63" s="1"/>
    </row>
    <row r="64" spans="1:21" customFormat="1" ht="15" x14ac:dyDescent="0.25">
      <c r="K64" s="69"/>
    </row>
    <row r="65" spans="11:11" customFormat="1" ht="15" x14ac:dyDescent="0.25">
      <c r="K65" s="1"/>
    </row>
  </sheetData>
  <mergeCells count="32">
    <mergeCell ref="A60:B60"/>
    <mergeCell ref="A61:B61"/>
    <mergeCell ref="A62:B62"/>
    <mergeCell ref="A54:B54"/>
    <mergeCell ref="A55:B55"/>
    <mergeCell ref="A56:B56"/>
    <mergeCell ref="A57:B57"/>
    <mergeCell ref="A58:B58"/>
    <mergeCell ref="A59:B59"/>
    <mergeCell ref="A53:B53"/>
    <mergeCell ref="D9:E9"/>
    <mergeCell ref="H9:I9"/>
    <mergeCell ref="A44:B44"/>
    <mergeCell ref="C44:F44"/>
    <mergeCell ref="A46:B46"/>
    <mergeCell ref="I46:L46"/>
    <mergeCell ref="I47:J47"/>
    <mergeCell ref="A48:B48"/>
    <mergeCell ref="A50:B50"/>
    <mergeCell ref="A51:B51"/>
    <mergeCell ref="A52:B52"/>
    <mergeCell ref="D6:E6"/>
    <mergeCell ref="H6:I6"/>
    <mergeCell ref="K6:K7"/>
    <mergeCell ref="T6:U6"/>
    <mergeCell ref="C7:E7"/>
    <mergeCell ref="G7:I7"/>
    <mergeCell ref="A1:C1"/>
    <mergeCell ref="D1:G1"/>
    <mergeCell ref="B2:G2"/>
    <mergeCell ref="D3:E3"/>
    <mergeCell ref="D4:E4"/>
  </mergeCells>
  <dataValidations count="1">
    <dataValidation type="list" allowBlank="1" showInputMessage="1" showErrorMessage="1" sqref="B2:C2" xr:uid="{00000000-0002-0000-0300-000000000000}">
      <formula1>$A$50:$A$62</formula1>
    </dataValidation>
  </dataValidations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5121" r:id="rId4">
          <objectPr defaultSize="0" autoPict="0" r:id="rId5">
            <anchor moveWithCells="1" sizeWithCells="1">
              <from>
                <xdr:col>7</xdr:col>
                <xdr:colOff>371475</xdr:colOff>
                <xdr:row>0</xdr:row>
                <xdr:rowOff>104775</xdr:rowOff>
              </from>
              <to>
                <xdr:col>10</xdr:col>
                <xdr:colOff>933450</xdr:colOff>
                <xdr:row>1</xdr:row>
                <xdr:rowOff>247650</xdr:rowOff>
              </to>
            </anchor>
          </objectPr>
        </oleObject>
      </mc:Choice>
      <mc:Fallback>
        <oleObject shapeId="512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5"/>
  <sheetViews>
    <sheetView workbookViewId="0">
      <selection activeCell="G3" sqref="G3:H3"/>
    </sheetView>
  </sheetViews>
  <sheetFormatPr baseColWidth="10" defaultRowHeight="15.75" x14ac:dyDescent="0.25"/>
  <cols>
    <col min="1" max="1" width="23.140625" bestFit="1" customWidth="1"/>
    <col min="2" max="2" width="17" bestFit="1" customWidth="1"/>
    <col min="4" max="4" width="8.5703125" bestFit="1" customWidth="1"/>
    <col min="5" max="5" width="10.85546875" bestFit="1" customWidth="1"/>
    <col min="6" max="6" width="17" bestFit="1" customWidth="1"/>
    <col min="7" max="8" width="14.5703125" customWidth="1"/>
    <col min="9" max="9" width="10" bestFit="1" customWidth="1"/>
    <col min="10" max="10" width="12.5703125" customWidth="1"/>
    <col min="11" max="11" width="15.7109375" customWidth="1"/>
    <col min="12" max="12" width="2.85546875" customWidth="1"/>
    <col min="13" max="14" width="11.42578125" hidden="1" customWidth="1"/>
    <col min="15" max="16" width="9.5703125" hidden="1" customWidth="1"/>
    <col min="17" max="19" width="2" hidden="1" customWidth="1"/>
    <col min="20" max="20" width="8.7109375" customWidth="1"/>
    <col min="21" max="21" width="10.7109375" customWidth="1"/>
    <col min="22" max="23" width="3.42578125" customWidth="1"/>
    <col min="24" max="24" width="48.5703125" style="106" customWidth="1"/>
  </cols>
  <sheetData>
    <row r="1" spans="1:25" ht="26.25" customHeight="1" thickBot="1" x14ac:dyDescent="0.3">
      <c r="A1" s="231" t="s">
        <v>62</v>
      </c>
      <c r="B1" s="232"/>
      <c r="C1" s="232"/>
      <c r="D1" s="233"/>
      <c r="E1" s="234"/>
      <c r="F1" s="234"/>
      <c r="G1" s="234"/>
      <c r="H1" s="27">
        <v>1.1000000000000001</v>
      </c>
      <c r="I1" s="4"/>
      <c r="J1" s="3"/>
      <c r="K1" s="3"/>
      <c r="L1" s="3"/>
      <c r="M1" s="29"/>
      <c r="X1" s="106" t="s">
        <v>28</v>
      </c>
      <c r="Y1" t="s">
        <v>50</v>
      </c>
    </row>
    <row r="2" spans="1:25" ht="27" thickBot="1" x14ac:dyDescent="0.45">
      <c r="A2" s="10" t="s">
        <v>0</v>
      </c>
      <c r="B2" s="235" t="s">
        <v>20</v>
      </c>
      <c r="C2" s="236"/>
      <c r="D2" s="236"/>
      <c r="E2" s="236"/>
      <c r="F2" s="236"/>
      <c r="G2" s="237"/>
      <c r="H2" s="58"/>
      <c r="I2" s="59"/>
      <c r="J2" s="3"/>
      <c r="K2" s="3"/>
      <c r="L2" s="3"/>
      <c r="M2" s="4"/>
      <c r="N2" s="4"/>
      <c r="O2" s="4"/>
      <c r="P2" s="30"/>
      <c r="Q2" s="31"/>
      <c r="R2" s="6"/>
      <c r="S2" s="4"/>
      <c r="T2" s="4"/>
      <c r="U2" s="4"/>
      <c r="X2" s="106" t="s">
        <v>42</v>
      </c>
      <c r="Y2" t="s">
        <v>54</v>
      </c>
    </row>
    <row r="3" spans="1:25" ht="16.5" customHeight="1" thickBot="1" x14ac:dyDescent="0.3">
      <c r="A3" s="73" t="s">
        <v>63</v>
      </c>
      <c r="B3" s="74">
        <v>60000</v>
      </c>
      <c r="C3" s="70" t="s">
        <v>68</v>
      </c>
      <c r="D3" s="238" t="s">
        <v>39</v>
      </c>
      <c r="E3" s="239"/>
      <c r="F3" s="168">
        <f>E48</f>
        <v>0.3</v>
      </c>
      <c r="G3" s="76" t="s">
        <v>65</v>
      </c>
      <c r="H3" s="143" t="s">
        <v>67</v>
      </c>
      <c r="I3" s="93"/>
      <c r="J3" s="94"/>
      <c r="K3" s="110"/>
      <c r="L3" s="7"/>
      <c r="M3" s="32"/>
      <c r="N3" s="32"/>
      <c r="O3" s="33"/>
      <c r="P3" s="7"/>
      <c r="Q3" s="7"/>
      <c r="R3" s="7"/>
      <c r="S3" s="7"/>
      <c r="T3" s="7"/>
      <c r="U3" s="7"/>
      <c r="X3" s="106" t="s">
        <v>29</v>
      </c>
      <c r="Y3" t="s">
        <v>51</v>
      </c>
    </row>
    <row r="4" spans="1:25" ht="16.5" customHeight="1" thickBot="1" x14ac:dyDescent="0.3">
      <c r="A4" s="73" t="s">
        <v>64</v>
      </c>
      <c r="B4" s="75">
        <v>15000</v>
      </c>
      <c r="C4" s="71" t="s">
        <v>68</v>
      </c>
      <c r="D4" s="240" t="s">
        <v>66</v>
      </c>
      <c r="E4" s="241"/>
      <c r="F4" s="63">
        <f>F48</f>
        <v>1.5</v>
      </c>
      <c r="G4" s="71" t="s">
        <v>3</v>
      </c>
      <c r="H4" s="163">
        <f>L48</f>
        <v>4</v>
      </c>
      <c r="I4" s="144"/>
      <c r="J4" s="145"/>
      <c r="K4" s="7"/>
      <c r="L4" s="7"/>
      <c r="M4" s="32"/>
      <c r="N4" s="32"/>
      <c r="O4" s="33"/>
      <c r="P4" s="7"/>
      <c r="Q4" s="7"/>
      <c r="R4" s="7"/>
      <c r="S4" s="7"/>
      <c r="T4" s="7"/>
      <c r="U4" s="7"/>
      <c r="X4" s="106" t="s">
        <v>30</v>
      </c>
      <c r="Y4" t="s">
        <v>52</v>
      </c>
    </row>
    <row r="5" spans="1:25" s="92" customFormat="1" ht="18" customHeight="1" thickBot="1" x14ac:dyDescent="0.3">
      <c r="A5" s="82"/>
      <c r="B5" s="83"/>
      <c r="C5" s="84"/>
      <c r="D5" s="85"/>
      <c r="E5" s="86"/>
      <c r="F5" s="87"/>
      <c r="G5" s="84"/>
      <c r="H5" s="88"/>
      <c r="I5" s="89"/>
      <c r="J5" s="90"/>
      <c r="K5" s="91"/>
      <c r="L5" s="91"/>
      <c r="M5" s="33"/>
      <c r="N5" s="33"/>
      <c r="O5" s="33"/>
      <c r="P5" s="91"/>
      <c r="Q5" s="91"/>
      <c r="R5" s="91"/>
      <c r="S5" s="91"/>
      <c r="T5" s="91"/>
      <c r="U5" s="91"/>
      <c r="X5" s="107" t="s">
        <v>31</v>
      </c>
      <c r="Y5" s="92" t="s">
        <v>53</v>
      </c>
    </row>
    <row r="6" spans="1:25" ht="16.5" customHeight="1" thickBot="1" x14ac:dyDescent="0.3">
      <c r="A6" s="72" t="s">
        <v>69</v>
      </c>
      <c r="B6" s="77" t="s">
        <v>4</v>
      </c>
      <c r="C6" s="78">
        <f>C48</f>
        <v>100</v>
      </c>
      <c r="D6" s="242" t="s">
        <v>5</v>
      </c>
      <c r="E6" s="243"/>
      <c r="F6" s="77" t="s">
        <v>6</v>
      </c>
      <c r="G6" s="78">
        <f>D48</f>
        <v>150</v>
      </c>
      <c r="H6" s="242" t="s">
        <v>5</v>
      </c>
      <c r="I6" s="243"/>
      <c r="J6" s="133" t="s">
        <v>73</v>
      </c>
      <c r="K6" s="244" t="s">
        <v>75</v>
      </c>
      <c r="L6" s="161"/>
      <c r="M6" s="7"/>
      <c r="N6" s="32"/>
      <c r="O6" s="33"/>
      <c r="P6" s="7"/>
      <c r="Q6" s="7"/>
      <c r="R6" s="7"/>
      <c r="S6" s="7"/>
      <c r="T6" s="246" t="s">
        <v>76</v>
      </c>
      <c r="U6" s="247"/>
    </row>
    <row r="7" spans="1:25" ht="16.5" thickBot="1" x14ac:dyDescent="0.3">
      <c r="A7" s="111" t="s">
        <v>70</v>
      </c>
      <c r="B7" s="11" t="s">
        <v>71</v>
      </c>
      <c r="C7" s="248" t="s">
        <v>72</v>
      </c>
      <c r="D7" s="249"/>
      <c r="E7" s="250"/>
      <c r="F7" s="11" t="s">
        <v>71</v>
      </c>
      <c r="G7" s="248" t="s">
        <v>72</v>
      </c>
      <c r="H7" s="249"/>
      <c r="I7" s="250"/>
      <c r="J7" s="134" t="s">
        <v>74</v>
      </c>
      <c r="K7" s="245"/>
      <c r="L7" s="42"/>
      <c r="M7" s="7"/>
      <c r="N7" s="26"/>
      <c r="O7" s="33"/>
      <c r="P7" s="7"/>
      <c r="Q7" s="7"/>
      <c r="R7" s="7"/>
      <c r="S7" s="7"/>
      <c r="T7" s="22" t="s">
        <v>35</v>
      </c>
      <c r="U7" s="25" t="s">
        <v>39</v>
      </c>
    </row>
    <row r="8" spans="1:25" ht="16.5" thickBot="1" x14ac:dyDescent="0.3">
      <c r="A8" s="112" t="s">
        <v>3</v>
      </c>
      <c r="B8" s="13" t="s">
        <v>68</v>
      </c>
      <c r="C8" s="14" t="s">
        <v>13</v>
      </c>
      <c r="D8" s="14" t="s">
        <v>5</v>
      </c>
      <c r="E8" s="15" t="s">
        <v>8</v>
      </c>
      <c r="F8" s="13" t="s">
        <v>68</v>
      </c>
      <c r="G8" s="14" t="s">
        <v>13</v>
      </c>
      <c r="H8" s="14" t="s">
        <v>5</v>
      </c>
      <c r="I8" s="15" t="s">
        <v>8</v>
      </c>
      <c r="J8" s="118" t="s">
        <v>3</v>
      </c>
      <c r="K8" s="12" t="s">
        <v>3</v>
      </c>
      <c r="L8" s="43"/>
      <c r="M8" s="7"/>
      <c r="N8" s="37"/>
      <c r="O8" s="33"/>
      <c r="P8" s="34"/>
      <c r="Q8" s="7"/>
      <c r="R8" s="7"/>
      <c r="S8" s="7"/>
      <c r="T8" s="165" t="s">
        <v>3</v>
      </c>
      <c r="U8" s="166" t="s">
        <v>5</v>
      </c>
    </row>
    <row r="9" spans="1:25" ht="17.25" hidden="1" customHeight="1" thickTop="1" thickBot="1" x14ac:dyDescent="0.3">
      <c r="A9" s="113" t="s">
        <v>70</v>
      </c>
      <c r="B9" s="46" t="s">
        <v>9</v>
      </c>
      <c r="C9" s="109" t="s">
        <v>10</v>
      </c>
      <c r="D9" s="253" t="s">
        <v>41</v>
      </c>
      <c r="E9" s="254"/>
      <c r="F9" s="46" t="s">
        <v>9</v>
      </c>
      <c r="G9" s="109" t="s">
        <v>10</v>
      </c>
      <c r="H9" s="255" t="s">
        <v>41</v>
      </c>
      <c r="I9" s="254"/>
      <c r="J9" s="119" t="s">
        <v>11</v>
      </c>
      <c r="K9" s="50" t="s">
        <v>12</v>
      </c>
      <c r="L9" s="51"/>
      <c r="M9" s="7"/>
      <c r="N9" s="38"/>
      <c r="O9" s="33"/>
      <c r="P9" s="34"/>
      <c r="Q9" s="7"/>
      <c r="R9" s="7"/>
      <c r="S9" s="7"/>
      <c r="T9" s="160" t="s">
        <v>38</v>
      </c>
      <c r="U9" s="160" t="s">
        <v>39</v>
      </c>
    </row>
    <row r="10" spans="1:25" ht="17.25" hidden="1" customHeight="1" thickTop="1" thickBot="1" x14ac:dyDescent="0.3">
      <c r="A10" s="114" t="s">
        <v>3</v>
      </c>
      <c r="B10" s="52" t="s">
        <v>1</v>
      </c>
      <c r="C10" s="53" t="s">
        <v>13</v>
      </c>
      <c r="D10" s="54" t="s">
        <v>5</v>
      </c>
      <c r="E10" s="55" t="s">
        <v>8</v>
      </c>
      <c r="F10" s="52" t="s">
        <v>1</v>
      </c>
      <c r="G10" s="53" t="s">
        <v>13</v>
      </c>
      <c r="H10" s="54" t="s">
        <v>5</v>
      </c>
      <c r="I10" s="132" t="s">
        <v>8</v>
      </c>
      <c r="J10" s="120" t="s">
        <v>3</v>
      </c>
      <c r="K10" s="57" t="s">
        <v>3</v>
      </c>
      <c r="L10" s="56"/>
      <c r="M10" s="7"/>
      <c r="N10" s="38"/>
      <c r="O10" s="33"/>
      <c r="P10" s="34"/>
      <c r="Q10" s="7"/>
      <c r="R10" s="7"/>
      <c r="S10" s="7"/>
      <c r="T10" s="48" t="s">
        <v>3</v>
      </c>
      <c r="U10" s="49" t="s">
        <v>5</v>
      </c>
    </row>
    <row r="11" spans="1:25" ht="16.5" thickTop="1" x14ac:dyDescent="0.25">
      <c r="A11" s="211" t="str">
        <f>IF(0.2&lt;H$48,"NA",0.2)</f>
        <v>NA</v>
      </c>
      <c r="B11" s="212" t="e">
        <f>IF((ROUND((IF($C$6*1000/(3.14*$A11)&gt;$B$3,$B$3,$C$6*1000/(3.14*$A11)))/1000,1)*1000)&lt;$B$4,$B$4,(ROUND((IF($C$6*1000/(3.14*$A11)&gt;$B$3,$B$3,$C$6*1000/(3.14*$A11)))/1000,1)*1000))</f>
        <v>#VALUE!</v>
      </c>
      <c r="C11" s="213" t="e">
        <f>P11</f>
        <v>#VALUE!</v>
      </c>
      <c r="D11" s="167" t="e">
        <f>+B11*C11/1000</f>
        <v>#VALUE!</v>
      </c>
      <c r="E11" s="214" t="e">
        <f>+D11*1000/25.4</f>
        <v>#VALUE!</v>
      </c>
      <c r="F11" s="212" t="e">
        <f>ROUND(IF(IF(($G$6*1000/(3.14*$A11))&gt;$B$3,$B$3,($G$6*1000/(3.14*$A11)))&lt;$B$4,$B$4,IF(($G$6*1000/(3.14*$A11))&gt;$B$3,$B$3,($G$6*1000/(3.14*$A11))))/1000,1)*1000</f>
        <v>#VALUE!</v>
      </c>
      <c r="G11" s="213" t="e">
        <f>P11*$H$1</f>
        <v>#VALUE!</v>
      </c>
      <c r="H11" s="167" t="e">
        <f>+F11*G11/1000</f>
        <v>#VALUE!</v>
      </c>
      <c r="I11" s="214" t="e">
        <f>+H11*1000/25.4</f>
        <v>#VALUE!</v>
      </c>
      <c r="J11" s="215" t="e">
        <f t="shared" ref="J11:J39" si="0">IF(A11*$G$48&gt;$F$48,$F$48,A11*$G$48)</f>
        <v>#VALUE!</v>
      </c>
      <c r="K11" s="216" t="e">
        <f t="shared" ref="K11:K39" si="1">IF((A11/2*1.08)&gt;1,1,(A11/2*1.08))</f>
        <v>#VALUE!</v>
      </c>
      <c r="L11" s="176"/>
      <c r="M11" s="208"/>
      <c r="N11" s="209"/>
      <c r="O11" s="210">
        <v>1E-3</v>
      </c>
      <c r="P11" s="210" t="e">
        <f t="shared" ref="P11:P39" si="2">IF(A11*(($F$3/100)+O11)&lt;0.001,0.001,(A11*(($F$3/100)+O11)))</f>
        <v>#VALUE!</v>
      </c>
      <c r="Q11" s="208"/>
      <c r="R11" s="208"/>
      <c r="S11" s="208"/>
      <c r="T11" s="217" t="e">
        <f>A11-0.1</f>
        <v>#VALUE!</v>
      </c>
      <c r="U11" s="218" t="e">
        <f>A11*0.03*B11/1000</f>
        <v>#VALUE!</v>
      </c>
    </row>
    <row r="12" spans="1:25" ht="16.5" thickBot="1" x14ac:dyDescent="0.3">
      <c r="A12" s="179" t="str">
        <f>IF(0.3&lt;H$48,"NA",0.3)</f>
        <v>NA</v>
      </c>
      <c r="B12" s="180" t="e">
        <f t="shared" ref="B12:B39" si="3">IF((ROUND((IF($C$6*1000/(3.14*$A12)&gt;$B$3,$B$3,$C$6*1000/(3.14*$A12)))/1000,1)*1000)&lt;$B$4,$B$4,(ROUND((IF($C$6*1000/(3.14*$A12)&gt;$B$3,$B$3,$C$6*1000/(3.14*$A12)))/1000,1)*1000))</f>
        <v>#VALUE!</v>
      </c>
      <c r="C12" s="181" t="e">
        <f t="shared" ref="C12:C39" si="4">P12</f>
        <v>#VALUE!</v>
      </c>
      <c r="D12" s="182" t="e">
        <f t="shared" ref="D12:D39" si="5">+B12*C12/1000</f>
        <v>#VALUE!</v>
      </c>
      <c r="E12" s="183" t="e">
        <f t="shared" ref="E12:E39" si="6">+D12*1000/25.4</f>
        <v>#VALUE!</v>
      </c>
      <c r="F12" s="180" t="e">
        <f t="shared" ref="F12:F39" si="7">ROUND(IF(IF(($G$6*1000/(3.14*$A12))&gt;$B$3,$B$3,($G$6*1000/(3.14*$A12)))&lt;$B$4,$B$4,IF(($G$6*1000/(3.14*$A12))&gt;$B$3,$B$3,($G$6*1000/(3.14*$A12))))/1000,1)*1000</f>
        <v>#VALUE!</v>
      </c>
      <c r="G12" s="181" t="e">
        <f t="shared" ref="G12:G39" si="8">P12*$H$1</f>
        <v>#VALUE!</v>
      </c>
      <c r="H12" s="182" t="e">
        <f t="shared" ref="H12:H39" si="9">+F12*G12/1000</f>
        <v>#VALUE!</v>
      </c>
      <c r="I12" s="183" t="e">
        <f t="shared" ref="I12:I39" si="10">+H12*1000/25.4</f>
        <v>#VALUE!</v>
      </c>
      <c r="J12" s="184" t="e">
        <f t="shared" si="0"/>
        <v>#VALUE!</v>
      </c>
      <c r="K12" s="185" t="e">
        <f t="shared" si="1"/>
        <v>#VALUE!</v>
      </c>
      <c r="L12" s="176"/>
      <c r="M12" s="91"/>
      <c r="N12" s="196"/>
      <c r="O12" s="99">
        <f>O11+0.0002</f>
        <v>1.2000000000000001E-3</v>
      </c>
      <c r="P12" s="99" t="e">
        <f t="shared" si="2"/>
        <v>#VALUE!</v>
      </c>
      <c r="Q12" s="91"/>
      <c r="R12" s="91"/>
      <c r="S12" s="91"/>
      <c r="T12" s="187" t="e">
        <f t="shared" ref="T12:T15" si="11">A12-0.1</f>
        <v>#VALUE!</v>
      </c>
      <c r="U12" s="188" t="e">
        <f t="shared" ref="U12:U18" si="12">A12*0.03*B12/1000</f>
        <v>#VALUE!</v>
      </c>
      <c r="X12" s="106" t="s">
        <v>2</v>
      </c>
      <c r="Y12" t="s">
        <v>46</v>
      </c>
    </row>
    <row r="13" spans="1:25" x14ac:dyDescent="0.25">
      <c r="A13" s="219" t="str">
        <f>IF(0.4&lt;H$48,"NA",0.4)</f>
        <v>NA</v>
      </c>
      <c r="B13" s="220" t="e">
        <f t="shared" si="3"/>
        <v>#VALUE!</v>
      </c>
      <c r="C13" s="221" t="e">
        <f t="shared" si="4"/>
        <v>#VALUE!</v>
      </c>
      <c r="D13" s="222" t="e">
        <f t="shared" si="5"/>
        <v>#VALUE!</v>
      </c>
      <c r="E13" s="223" t="e">
        <f t="shared" si="6"/>
        <v>#VALUE!</v>
      </c>
      <c r="F13" s="220" t="e">
        <f t="shared" si="7"/>
        <v>#VALUE!</v>
      </c>
      <c r="G13" s="221" t="e">
        <f t="shared" si="8"/>
        <v>#VALUE!</v>
      </c>
      <c r="H13" s="222" t="e">
        <f t="shared" si="9"/>
        <v>#VALUE!</v>
      </c>
      <c r="I13" s="223" t="e">
        <f t="shared" si="10"/>
        <v>#VALUE!</v>
      </c>
      <c r="J13" s="224" t="e">
        <f t="shared" si="0"/>
        <v>#VALUE!</v>
      </c>
      <c r="K13" s="225" t="e">
        <f t="shared" si="1"/>
        <v>#VALUE!</v>
      </c>
      <c r="L13" s="176"/>
      <c r="M13" s="208"/>
      <c r="N13" s="209"/>
      <c r="O13" s="210">
        <f t="shared" ref="O13:O23" si="13">O12+0.0002</f>
        <v>1.4000000000000002E-3</v>
      </c>
      <c r="P13" s="210" t="e">
        <f t="shared" si="2"/>
        <v>#VALUE!</v>
      </c>
      <c r="Q13" s="208"/>
      <c r="R13" s="208"/>
      <c r="S13" s="208"/>
      <c r="T13" s="217" t="e">
        <f t="shared" si="11"/>
        <v>#VALUE!</v>
      </c>
      <c r="U13" s="218" t="e">
        <f t="shared" si="12"/>
        <v>#VALUE!</v>
      </c>
      <c r="X13" s="200" t="s">
        <v>40</v>
      </c>
      <c r="Y13" s="201">
        <v>1</v>
      </c>
    </row>
    <row r="14" spans="1:25" x14ac:dyDescent="0.25">
      <c r="A14" s="179" t="str">
        <f>IF(0.5&lt;H$48,"NA",0.5)</f>
        <v>NA</v>
      </c>
      <c r="B14" s="180" t="e">
        <f t="shared" si="3"/>
        <v>#VALUE!</v>
      </c>
      <c r="C14" s="181" t="e">
        <f t="shared" si="4"/>
        <v>#VALUE!</v>
      </c>
      <c r="D14" s="182" t="e">
        <f t="shared" si="5"/>
        <v>#VALUE!</v>
      </c>
      <c r="E14" s="183" t="e">
        <f t="shared" si="6"/>
        <v>#VALUE!</v>
      </c>
      <c r="F14" s="180" t="e">
        <f t="shared" si="7"/>
        <v>#VALUE!</v>
      </c>
      <c r="G14" s="181" t="e">
        <f t="shared" si="8"/>
        <v>#VALUE!</v>
      </c>
      <c r="H14" s="182" t="e">
        <f t="shared" si="9"/>
        <v>#VALUE!</v>
      </c>
      <c r="I14" s="183" t="e">
        <f t="shared" si="10"/>
        <v>#VALUE!</v>
      </c>
      <c r="J14" s="184" t="e">
        <f t="shared" si="0"/>
        <v>#VALUE!</v>
      </c>
      <c r="K14" s="185" t="e">
        <f t="shared" si="1"/>
        <v>#VALUE!</v>
      </c>
      <c r="L14" s="176"/>
      <c r="M14" s="91"/>
      <c r="N14" s="196"/>
      <c r="O14" s="99">
        <f t="shared" si="13"/>
        <v>1.6000000000000003E-3</v>
      </c>
      <c r="P14" s="99" t="e">
        <f t="shared" si="2"/>
        <v>#VALUE!</v>
      </c>
      <c r="Q14" s="91"/>
      <c r="R14" s="91"/>
      <c r="S14" s="91"/>
      <c r="T14" s="187" t="e">
        <f t="shared" si="11"/>
        <v>#VALUE!</v>
      </c>
      <c r="U14" s="188" t="e">
        <f t="shared" si="12"/>
        <v>#VALUE!</v>
      </c>
      <c r="X14" s="202" t="s">
        <v>36</v>
      </c>
      <c r="Y14" s="203">
        <v>2</v>
      </c>
    </row>
    <row r="15" spans="1:25" x14ac:dyDescent="0.25">
      <c r="A15" s="219" t="str">
        <f>IF(0.6&lt;H$48,"NA",0.6)</f>
        <v>NA</v>
      </c>
      <c r="B15" s="220" t="e">
        <f t="shared" si="3"/>
        <v>#VALUE!</v>
      </c>
      <c r="C15" s="221" t="e">
        <f t="shared" si="4"/>
        <v>#VALUE!</v>
      </c>
      <c r="D15" s="222" t="e">
        <f t="shared" si="5"/>
        <v>#VALUE!</v>
      </c>
      <c r="E15" s="223" t="e">
        <f t="shared" si="6"/>
        <v>#VALUE!</v>
      </c>
      <c r="F15" s="220" t="e">
        <f t="shared" si="7"/>
        <v>#VALUE!</v>
      </c>
      <c r="G15" s="221" t="e">
        <f t="shared" si="8"/>
        <v>#VALUE!</v>
      </c>
      <c r="H15" s="222" t="e">
        <f t="shared" si="9"/>
        <v>#VALUE!</v>
      </c>
      <c r="I15" s="223" t="e">
        <f t="shared" si="10"/>
        <v>#VALUE!</v>
      </c>
      <c r="J15" s="224" t="e">
        <f t="shared" si="0"/>
        <v>#VALUE!</v>
      </c>
      <c r="K15" s="225" t="e">
        <f t="shared" si="1"/>
        <v>#VALUE!</v>
      </c>
      <c r="L15" s="176"/>
      <c r="M15" s="208"/>
      <c r="N15" s="209"/>
      <c r="O15" s="210">
        <f t="shared" si="13"/>
        <v>1.8000000000000004E-3</v>
      </c>
      <c r="P15" s="210" t="e">
        <f t="shared" si="2"/>
        <v>#VALUE!</v>
      </c>
      <c r="Q15" s="208"/>
      <c r="R15" s="208"/>
      <c r="S15" s="208"/>
      <c r="T15" s="217" t="e">
        <f t="shared" si="11"/>
        <v>#VALUE!</v>
      </c>
      <c r="U15" s="218" t="e">
        <f t="shared" si="12"/>
        <v>#VALUE!</v>
      </c>
      <c r="X15" s="202" t="s">
        <v>37</v>
      </c>
      <c r="Y15" s="203">
        <v>3</v>
      </c>
    </row>
    <row r="16" spans="1:25" x14ac:dyDescent="0.25">
      <c r="A16" s="179" t="str">
        <f>IF(0.7&lt;H$48,"NA",0.7)</f>
        <v>NA</v>
      </c>
      <c r="B16" s="180" t="e">
        <f t="shared" si="3"/>
        <v>#VALUE!</v>
      </c>
      <c r="C16" s="181" t="e">
        <f t="shared" si="4"/>
        <v>#VALUE!</v>
      </c>
      <c r="D16" s="182" t="e">
        <f t="shared" si="5"/>
        <v>#VALUE!</v>
      </c>
      <c r="E16" s="183" t="e">
        <f t="shared" si="6"/>
        <v>#VALUE!</v>
      </c>
      <c r="F16" s="180" t="e">
        <f t="shared" si="7"/>
        <v>#VALUE!</v>
      </c>
      <c r="G16" s="181" t="e">
        <f t="shared" si="8"/>
        <v>#VALUE!</v>
      </c>
      <c r="H16" s="182" t="e">
        <f t="shared" si="9"/>
        <v>#VALUE!</v>
      </c>
      <c r="I16" s="183" t="e">
        <f t="shared" si="10"/>
        <v>#VALUE!</v>
      </c>
      <c r="J16" s="184" t="e">
        <f t="shared" si="0"/>
        <v>#VALUE!</v>
      </c>
      <c r="K16" s="185" t="e">
        <f t="shared" si="1"/>
        <v>#VALUE!</v>
      </c>
      <c r="L16" s="176"/>
      <c r="M16" s="91"/>
      <c r="N16" s="196"/>
      <c r="O16" s="99">
        <f t="shared" si="13"/>
        <v>2.0000000000000005E-3</v>
      </c>
      <c r="P16" s="99" t="e">
        <f t="shared" si="2"/>
        <v>#VALUE!</v>
      </c>
      <c r="Q16" s="91"/>
      <c r="R16" s="91"/>
      <c r="S16" s="91"/>
      <c r="T16" s="187" t="e">
        <f>A16-0.2</f>
        <v>#VALUE!</v>
      </c>
      <c r="U16" s="188" t="e">
        <f t="shared" si="12"/>
        <v>#VALUE!</v>
      </c>
      <c r="X16" s="202" t="s">
        <v>21</v>
      </c>
      <c r="Y16" s="203">
        <v>4</v>
      </c>
    </row>
    <row r="17" spans="1:25" x14ac:dyDescent="0.25">
      <c r="A17" s="219" t="str">
        <f>IF(0.8&lt;H$48,"NA",0.8)</f>
        <v>NA</v>
      </c>
      <c r="B17" s="220" t="e">
        <f t="shared" si="3"/>
        <v>#VALUE!</v>
      </c>
      <c r="C17" s="221" t="e">
        <f t="shared" si="4"/>
        <v>#VALUE!</v>
      </c>
      <c r="D17" s="222" t="e">
        <f t="shared" si="5"/>
        <v>#VALUE!</v>
      </c>
      <c r="E17" s="223" t="e">
        <f t="shared" si="6"/>
        <v>#VALUE!</v>
      </c>
      <c r="F17" s="220" t="e">
        <f t="shared" si="7"/>
        <v>#VALUE!</v>
      </c>
      <c r="G17" s="221" t="e">
        <f t="shared" si="8"/>
        <v>#VALUE!</v>
      </c>
      <c r="H17" s="222" t="e">
        <f t="shared" si="9"/>
        <v>#VALUE!</v>
      </c>
      <c r="I17" s="223" t="e">
        <f t="shared" si="10"/>
        <v>#VALUE!</v>
      </c>
      <c r="J17" s="224" t="e">
        <f t="shared" si="0"/>
        <v>#VALUE!</v>
      </c>
      <c r="K17" s="225" t="e">
        <f t="shared" si="1"/>
        <v>#VALUE!</v>
      </c>
      <c r="L17" s="176"/>
      <c r="M17" s="208"/>
      <c r="N17" s="209"/>
      <c r="O17" s="210">
        <f t="shared" si="13"/>
        <v>2.2000000000000006E-3</v>
      </c>
      <c r="P17" s="210" t="e">
        <f t="shared" si="2"/>
        <v>#VALUE!</v>
      </c>
      <c r="Q17" s="208"/>
      <c r="R17" s="208"/>
      <c r="S17" s="208"/>
      <c r="T17" s="217" t="e">
        <f t="shared" ref="T17:T39" si="14">A17-0.2</f>
        <v>#VALUE!</v>
      </c>
      <c r="U17" s="218" t="e">
        <f t="shared" si="12"/>
        <v>#VALUE!</v>
      </c>
      <c r="X17" s="202" t="s">
        <v>22</v>
      </c>
      <c r="Y17" s="203">
        <v>5</v>
      </c>
    </row>
    <row r="18" spans="1:25" x14ac:dyDescent="0.25">
      <c r="A18" s="179" t="str">
        <f>IF(0.9&lt;H$48,"NA",0.9)</f>
        <v>NA</v>
      </c>
      <c r="B18" s="180" t="e">
        <f t="shared" si="3"/>
        <v>#VALUE!</v>
      </c>
      <c r="C18" s="181" t="e">
        <f t="shared" si="4"/>
        <v>#VALUE!</v>
      </c>
      <c r="D18" s="182" t="e">
        <f t="shared" si="5"/>
        <v>#VALUE!</v>
      </c>
      <c r="E18" s="183" t="e">
        <f t="shared" si="6"/>
        <v>#VALUE!</v>
      </c>
      <c r="F18" s="180" t="e">
        <f t="shared" si="7"/>
        <v>#VALUE!</v>
      </c>
      <c r="G18" s="181" t="e">
        <f t="shared" si="8"/>
        <v>#VALUE!</v>
      </c>
      <c r="H18" s="182" t="e">
        <f t="shared" si="9"/>
        <v>#VALUE!</v>
      </c>
      <c r="I18" s="183" t="e">
        <f t="shared" si="10"/>
        <v>#VALUE!</v>
      </c>
      <c r="J18" s="184" t="e">
        <f t="shared" si="0"/>
        <v>#VALUE!</v>
      </c>
      <c r="K18" s="185" t="e">
        <f t="shared" si="1"/>
        <v>#VALUE!</v>
      </c>
      <c r="L18" s="176"/>
      <c r="M18" s="91"/>
      <c r="N18" s="196"/>
      <c r="O18" s="99">
        <f t="shared" si="13"/>
        <v>2.4000000000000007E-3</v>
      </c>
      <c r="P18" s="99" t="e">
        <f t="shared" si="2"/>
        <v>#VALUE!</v>
      </c>
      <c r="Q18" s="91"/>
      <c r="R18" s="91"/>
      <c r="S18" s="91"/>
      <c r="T18" s="187" t="e">
        <f t="shared" si="14"/>
        <v>#VALUE!</v>
      </c>
      <c r="U18" s="188" t="e">
        <f t="shared" si="12"/>
        <v>#VALUE!</v>
      </c>
      <c r="X18" s="202" t="s">
        <v>23</v>
      </c>
      <c r="Y18" s="203">
        <v>6</v>
      </c>
    </row>
    <row r="19" spans="1:25" x14ac:dyDescent="0.25">
      <c r="A19" s="137">
        <f>IF(1&lt;H$48,"NA",1)</f>
        <v>1</v>
      </c>
      <c r="B19" s="128">
        <f t="shared" si="3"/>
        <v>31800</v>
      </c>
      <c r="C19" s="61">
        <f t="shared" si="4"/>
        <v>5.6000000000000008E-3</v>
      </c>
      <c r="D19" s="62">
        <f t="shared" si="5"/>
        <v>0.17808000000000002</v>
      </c>
      <c r="E19" s="16">
        <f t="shared" si="6"/>
        <v>7.0110236220472446</v>
      </c>
      <c r="F19" s="128">
        <f t="shared" si="7"/>
        <v>47800</v>
      </c>
      <c r="G19" s="61">
        <f t="shared" si="8"/>
        <v>6.1600000000000014E-3</v>
      </c>
      <c r="H19" s="62">
        <f t="shared" si="9"/>
        <v>0.2944480000000001</v>
      </c>
      <c r="I19" s="16">
        <f t="shared" si="10"/>
        <v>11.592440944881893</v>
      </c>
      <c r="J19" s="123">
        <f t="shared" si="0"/>
        <v>1</v>
      </c>
      <c r="K19" s="104">
        <f t="shared" si="1"/>
        <v>0.54</v>
      </c>
      <c r="L19" s="44"/>
      <c r="M19" s="7"/>
      <c r="N19" s="36"/>
      <c r="O19" s="99">
        <f t="shared" si="13"/>
        <v>2.6000000000000007E-3</v>
      </c>
      <c r="P19" s="99">
        <f t="shared" si="2"/>
        <v>5.6000000000000008E-3</v>
      </c>
      <c r="Q19" s="7"/>
      <c r="R19" s="7"/>
      <c r="S19" s="7"/>
      <c r="T19" s="47">
        <f t="shared" si="14"/>
        <v>0.8</v>
      </c>
      <c r="U19" s="162">
        <f>A19*0.02*B19/1000</f>
        <v>0.63600000000000001</v>
      </c>
      <c r="X19" s="204"/>
      <c r="Y19" s="203">
        <v>7</v>
      </c>
    </row>
    <row r="20" spans="1:25" x14ac:dyDescent="0.25">
      <c r="A20" s="138">
        <f>IF(1.1&lt;H$48,"NA",1.1)</f>
        <v>1.1000000000000001</v>
      </c>
      <c r="B20" s="126">
        <f t="shared" si="3"/>
        <v>29000</v>
      </c>
      <c r="C20" s="101">
        <f t="shared" si="4"/>
        <v>6.380000000000002E-3</v>
      </c>
      <c r="D20" s="102">
        <f t="shared" si="5"/>
        <v>0.18502000000000007</v>
      </c>
      <c r="E20" s="127">
        <f t="shared" si="6"/>
        <v>7.2842519685039404</v>
      </c>
      <c r="F20" s="126">
        <f t="shared" si="7"/>
        <v>43400</v>
      </c>
      <c r="G20" s="101">
        <f t="shared" si="8"/>
        <v>7.0180000000000025E-3</v>
      </c>
      <c r="H20" s="102">
        <f t="shared" si="9"/>
        <v>0.30458120000000016</v>
      </c>
      <c r="I20" s="127">
        <f t="shared" si="10"/>
        <v>11.99138582677166</v>
      </c>
      <c r="J20" s="122">
        <f t="shared" si="0"/>
        <v>1.1000000000000001</v>
      </c>
      <c r="K20" s="103">
        <f t="shared" si="1"/>
        <v>0.59400000000000008</v>
      </c>
      <c r="L20" s="44"/>
      <c r="M20" s="7"/>
      <c r="N20" s="36"/>
      <c r="O20" s="99">
        <f t="shared" si="13"/>
        <v>2.8000000000000008E-3</v>
      </c>
      <c r="P20" s="99">
        <f t="shared" si="2"/>
        <v>6.380000000000002E-3</v>
      </c>
      <c r="Q20" s="7"/>
      <c r="R20" s="8"/>
      <c r="S20" s="7"/>
      <c r="T20" s="159">
        <f t="shared" si="14"/>
        <v>0.90000000000000013</v>
      </c>
      <c r="U20" s="164">
        <f t="shared" ref="U20:U39" si="15">A20*0.02*B20/1000</f>
        <v>0.63800000000000012</v>
      </c>
      <c r="X20" s="204"/>
      <c r="Y20" s="203">
        <v>8</v>
      </c>
    </row>
    <row r="21" spans="1:25" x14ac:dyDescent="0.25">
      <c r="A21" s="140">
        <f>IF(1.2&lt;H$48,"NA",1.2)</f>
        <v>1.2</v>
      </c>
      <c r="B21" s="128">
        <f t="shared" si="3"/>
        <v>26500</v>
      </c>
      <c r="C21" s="61">
        <f t="shared" si="4"/>
        <v>7.2000000000000007E-3</v>
      </c>
      <c r="D21" s="62">
        <f t="shared" si="5"/>
        <v>0.19080000000000003</v>
      </c>
      <c r="E21" s="16">
        <f t="shared" si="6"/>
        <v>7.5118110236220481</v>
      </c>
      <c r="F21" s="128">
        <f t="shared" si="7"/>
        <v>39800</v>
      </c>
      <c r="G21" s="61">
        <f t="shared" si="8"/>
        <v>7.9200000000000017E-3</v>
      </c>
      <c r="H21" s="62">
        <f t="shared" si="9"/>
        <v>0.31521600000000005</v>
      </c>
      <c r="I21" s="16">
        <f t="shared" si="10"/>
        <v>12.410078740157484</v>
      </c>
      <c r="J21" s="123">
        <f t="shared" si="0"/>
        <v>1.2</v>
      </c>
      <c r="K21" s="104">
        <f t="shared" si="1"/>
        <v>0.64800000000000002</v>
      </c>
      <c r="L21" s="44"/>
      <c r="M21" s="7"/>
      <c r="N21" s="36"/>
      <c r="O21" s="99">
        <f t="shared" si="13"/>
        <v>3.0000000000000009E-3</v>
      </c>
      <c r="P21" s="99">
        <f t="shared" si="2"/>
        <v>7.2000000000000007E-3</v>
      </c>
      <c r="Q21" s="7"/>
      <c r="R21" s="8"/>
      <c r="S21" s="7"/>
      <c r="T21" s="47">
        <f t="shared" si="14"/>
        <v>1</v>
      </c>
      <c r="U21" s="162">
        <f t="shared" si="15"/>
        <v>0.63600000000000001</v>
      </c>
      <c r="X21" s="205"/>
      <c r="Y21" s="203">
        <v>9</v>
      </c>
    </row>
    <row r="22" spans="1:25" x14ac:dyDescent="0.25">
      <c r="A22" s="138">
        <f>IF(1.3&lt;H$48,"NA",1.3)</f>
        <v>1.3</v>
      </c>
      <c r="B22" s="126">
        <f t="shared" si="3"/>
        <v>24500</v>
      </c>
      <c r="C22" s="101">
        <f t="shared" si="4"/>
        <v>8.0600000000000012E-3</v>
      </c>
      <c r="D22" s="102">
        <f t="shared" si="5"/>
        <v>0.19747000000000003</v>
      </c>
      <c r="E22" s="127">
        <f t="shared" si="6"/>
        <v>7.7744094488188988</v>
      </c>
      <c r="F22" s="126">
        <f t="shared" si="7"/>
        <v>36700</v>
      </c>
      <c r="G22" s="101">
        <f t="shared" si="8"/>
        <v>8.8660000000000024E-3</v>
      </c>
      <c r="H22" s="102">
        <f t="shared" si="9"/>
        <v>0.32538220000000007</v>
      </c>
      <c r="I22" s="127">
        <f t="shared" si="10"/>
        <v>12.810322834645673</v>
      </c>
      <c r="J22" s="122">
        <f t="shared" si="0"/>
        <v>1.3</v>
      </c>
      <c r="K22" s="103">
        <f t="shared" si="1"/>
        <v>0.70200000000000007</v>
      </c>
      <c r="L22" s="44"/>
      <c r="M22" s="7"/>
      <c r="N22" s="36"/>
      <c r="O22" s="99">
        <f t="shared" si="13"/>
        <v>3.200000000000001E-3</v>
      </c>
      <c r="P22" s="99">
        <f t="shared" si="2"/>
        <v>8.0600000000000012E-3</v>
      </c>
      <c r="Q22" s="7"/>
      <c r="R22" s="7"/>
      <c r="S22" s="7"/>
      <c r="T22" s="159">
        <f t="shared" si="14"/>
        <v>1.1000000000000001</v>
      </c>
      <c r="U22" s="164">
        <f t="shared" si="15"/>
        <v>0.63700000000000001</v>
      </c>
      <c r="X22" s="205"/>
      <c r="Y22" s="203">
        <v>10</v>
      </c>
    </row>
    <row r="23" spans="1:25" x14ac:dyDescent="0.25">
      <c r="A23" s="140">
        <f>IF(1.4&lt;H$48,"NA",1.4)</f>
        <v>1.4</v>
      </c>
      <c r="B23" s="128">
        <f t="shared" si="3"/>
        <v>22700</v>
      </c>
      <c r="C23" s="61">
        <f t="shared" si="4"/>
        <v>8.9600000000000009E-3</v>
      </c>
      <c r="D23" s="62">
        <f t="shared" si="5"/>
        <v>0.20339200000000002</v>
      </c>
      <c r="E23" s="16">
        <f t="shared" si="6"/>
        <v>8.0075590551181115</v>
      </c>
      <c r="F23" s="128">
        <f t="shared" si="7"/>
        <v>34100</v>
      </c>
      <c r="G23" s="61">
        <f t="shared" si="8"/>
        <v>9.8560000000000019E-3</v>
      </c>
      <c r="H23" s="62">
        <f t="shared" si="9"/>
        <v>0.3360896000000001</v>
      </c>
      <c r="I23" s="16">
        <f t="shared" si="10"/>
        <v>13.231874015748035</v>
      </c>
      <c r="J23" s="123">
        <f t="shared" si="0"/>
        <v>1.4</v>
      </c>
      <c r="K23" s="104">
        <f t="shared" si="1"/>
        <v>0.75600000000000001</v>
      </c>
      <c r="L23" s="44"/>
      <c r="M23" s="7"/>
      <c r="N23" s="36"/>
      <c r="O23" s="99">
        <f t="shared" si="13"/>
        <v>3.4000000000000011E-3</v>
      </c>
      <c r="P23" s="99">
        <f t="shared" si="2"/>
        <v>8.9600000000000009E-3</v>
      </c>
      <c r="Q23" s="7"/>
      <c r="R23" s="7"/>
      <c r="S23" s="7"/>
      <c r="T23" s="47">
        <f t="shared" si="14"/>
        <v>1.2</v>
      </c>
      <c r="U23" s="162">
        <f t="shared" si="15"/>
        <v>0.63559999999999994</v>
      </c>
      <c r="X23" s="205"/>
      <c r="Y23" s="203">
        <v>11</v>
      </c>
    </row>
    <row r="24" spans="1:25" x14ac:dyDescent="0.25">
      <c r="A24" s="138">
        <f>IF(1.5&lt;H$48,"NA",1.5)</f>
        <v>1.5</v>
      </c>
      <c r="B24" s="126">
        <f t="shared" si="3"/>
        <v>21200</v>
      </c>
      <c r="C24" s="101">
        <f t="shared" si="4"/>
        <v>1.0125000000000002E-2</v>
      </c>
      <c r="D24" s="102">
        <f t="shared" si="5"/>
        <v>0.21465000000000004</v>
      </c>
      <c r="E24" s="127">
        <f t="shared" si="6"/>
        <v>8.4507874015748055</v>
      </c>
      <c r="F24" s="126">
        <f t="shared" si="7"/>
        <v>31800</v>
      </c>
      <c r="G24" s="101">
        <f t="shared" si="8"/>
        <v>1.1137500000000003E-2</v>
      </c>
      <c r="H24" s="102">
        <f t="shared" si="9"/>
        <v>0.35417250000000011</v>
      </c>
      <c r="I24" s="127">
        <f t="shared" si="10"/>
        <v>13.943799212598432</v>
      </c>
      <c r="J24" s="122">
        <f t="shared" si="0"/>
        <v>1.5</v>
      </c>
      <c r="K24" s="103">
        <f t="shared" si="1"/>
        <v>0.81</v>
      </c>
      <c r="L24" s="44"/>
      <c r="M24" s="7"/>
      <c r="N24" s="36"/>
      <c r="O24" s="99">
        <f>O23+0.00035</f>
        <v>3.7500000000000012E-3</v>
      </c>
      <c r="P24" s="99">
        <f t="shared" si="2"/>
        <v>1.0125000000000002E-2</v>
      </c>
      <c r="Q24" s="7"/>
      <c r="R24" s="7"/>
      <c r="S24" s="7"/>
      <c r="T24" s="159">
        <f t="shared" si="14"/>
        <v>1.3</v>
      </c>
      <c r="U24" s="164">
        <f t="shared" si="15"/>
        <v>0.63600000000000001</v>
      </c>
      <c r="X24" s="205"/>
      <c r="Y24" s="203">
        <v>12</v>
      </c>
    </row>
    <row r="25" spans="1:25" ht="16.5" thickBot="1" x14ac:dyDescent="0.3">
      <c r="A25" s="116">
        <v>1.6</v>
      </c>
      <c r="B25" s="128">
        <f t="shared" si="3"/>
        <v>19900</v>
      </c>
      <c r="C25" s="61">
        <f t="shared" si="4"/>
        <v>1.1360000000000002E-2</v>
      </c>
      <c r="D25" s="62">
        <f t="shared" si="5"/>
        <v>0.22606400000000004</v>
      </c>
      <c r="E25" s="16">
        <f t="shared" si="6"/>
        <v>8.900157480314963</v>
      </c>
      <c r="F25" s="128">
        <f t="shared" si="7"/>
        <v>29900</v>
      </c>
      <c r="G25" s="61">
        <f t="shared" si="8"/>
        <v>1.2496000000000004E-2</v>
      </c>
      <c r="H25" s="62">
        <f t="shared" si="9"/>
        <v>0.37363040000000014</v>
      </c>
      <c r="I25" s="16">
        <f t="shared" si="10"/>
        <v>14.709858267716541</v>
      </c>
      <c r="J25" s="123">
        <f t="shared" si="0"/>
        <v>1.5</v>
      </c>
      <c r="K25" s="104">
        <f t="shared" si="1"/>
        <v>0.8640000000000001</v>
      </c>
      <c r="L25" s="44"/>
      <c r="M25" s="7"/>
      <c r="N25" s="36"/>
      <c r="O25" s="99">
        <f t="shared" ref="O25:O39" si="16">O24+0.00035</f>
        <v>4.1000000000000012E-3</v>
      </c>
      <c r="P25" s="99">
        <f t="shared" si="2"/>
        <v>1.1360000000000002E-2</v>
      </c>
      <c r="Q25" s="7"/>
      <c r="R25" s="7"/>
      <c r="S25" s="7"/>
      <c r="T25" s="47">
        <f t="shared" si="14"/>
        <v>1.4000000000000001</v>
      </c>
      <c r="U25" s="162">
        <f t="shared" si="15"/>
        <v>0.63680000000000003</v>
      </c>
      <c r="X25" s="206"/>
      <c r="Y25" s="207">
        <v>13</v>
      </c>
    </row>
    <row r="26" spans="1:25" x14ac:dyDescent="0.25">
      <c r="A26" s="115">
        <v>1.7</v>
      </c>
      <c r="B26" s="126">
        <f t="shared" si="3"/>
        <v>18700</v>
      </c>
      <c r="C26" s="101">
        <f t="shared" si="4"/>
        <v>1.2665000000000001E-2</v>
      </c>
      <c r="D26" s="102">
        <f t="shared" si="5"/>
        <v>0.23683550000000003</v>
      </c>
      <c r="E26" s="127">
        <f t="shared" si="6"/>
        <v>9.3242322834645677</v>
      </c>
      <c r="F26" s="126">
        <f t="shared" si="7"/>
        <v>28100</v>
      </c>
      <c r="G26" s="101">
        <f t="shared" si="8"/>
        <v>1.3931500000000003E-2</v>
      </c>
      <c r="H26" s="102">
        <f t="shared" si="9"/>
        <v>0.3914751500000001</v>
      </c>
      <c r="I26" s="127">
        <f t="shared" si="10"/>
        <v>15.412407480314965</v>
      </c>
      <c r="J26" s="122">
        <f t="shared" si="0"/>
        <v>1.5</v>
      </c>
      <c r="K26" s="103">
        <f t="shared" si="1"/>
        <v>0.91800000000000004</v>
      </c>
      <c r="L26" s="96"/>
      <c r="M26" s="7"/>
      <c r="N26" s="36"/>
      <c r="O26" s="99">
        <f t="shared" si="16"/>
        <v>4.4500000000000008E-3</v>
      </c>
      <c r="P26" s="99">
        <f t="shared" si="2"/>
        <v>1.2665000000000001E-2</v>
      </c>
      <c r="Q26" s="7"/>
      <c r="R26" s="7"/>
      <c r="S26" s="7"/>
      <c r="T26" s="159">
        <f t="shared" si="14"/>
        <v>1.5</v>
      </c>
      <c r="U26" s="164">
        <f t="shared" si="15"/>
        <v>0.63580000000000003</v>
      </c>
      <c r="X26"/>
    </row>
    <row r="27" spans="1:25" x14ac:dyDescent="0.25">
      <c r="A27" s="116">
        <v>1.8</v>
      </c>
      <c r="B27" s="128">
        <f t="shared" si="3"/>
        <v>17700</v>
      </c>
      <c r="C27" s="61">
        <f t="shared" si="4"/>
        <v>1.404E-2</v>
      </c>
      <c r="D27" s="62">
        <f t="shared" si="5"/>
        <v>0.24850800000000001</v>
      </c>
      <c r="E27" s="16">
        <f t="shared" si="6"/>
        <v>9.7837795275590569</v>
      </c>
      <c r="F27" s="128">
        <f t="shared" si="7"/>
        <v>26500</v>
      </c>
      <c r="G27" s="61">
        <f t="shared" si="8"/>
        <v>1.5444000000000001E-2</v>
      </c>
      <c r="H27" s="62">
        <f t="shared" si="9"/>
        <v>0.40926600000000002</v>
      </c>
      <c r="I27" s="16">
        <f t="shared" si="10"/>
        <v>16.112834645669292</v>
      </c>
      <c r="J27" s="123">
        <f t="shared" si="0"/>
        <v>1.5</v>
      </c>
      <c r="K27" s="104">
        <f t="shared" si="1"/>
        <v>0.97200000000000009</v>
      </c>
      <c r="L27" s="44"/>
      <c r="M27" s="7"/>
      <c r="N27" s="36"/>
      <c r="O27" s="99">
        <f t="shared" si="16"/>
        <v>4.8000000000000004E-3</v>
      </c>
      <c r="P27" s="99">
        <f t="shared" si="2"/>
        <v>1.404E-2</v>
      </c>
      <c r="Q27" s="7"/>
      <c r="R27" s="7"/>
      <c r="S27" s="7"/>
      <c r="T27" s="47">
        <f t="shared" si="14"/>
        <v>1.6</v>
      </c>
      <c r="U27" s="162">
        <f t="shared" si="15"/>
        <v>0.6372000000000001</v>
      </c>
      <c r="X27"/>
    </row>
    <row r="28" spans="1:25" x14ac:dyDescent="0.25">
      <c r="A28" s="115">
        <v>1.9</v>
      </c>
      <c r="B28" s="126">
        <f t="shared" si="3"/>
        <v>16800</v>
      </c>
      <c r="C28" s="101">
        <f t="shared" si="4"/>
        <v>1.5485000000000001E-2</v>
      </c>
      <c r="D28" s="102">
        <f t="shared" si="5"/>
        <v>0.26014800000000005</v>
      </c>
      <c r="E28" s="127">
        <f t="shared" si="6"/>
        <v>10.24204724409449</v>
      </c>
      <c r="F28" s="126">
        <f t="shared" si="7"/>
        <v>25100</v>
      </c>
      <c r="G28" s="101">
        <f t="shared" si="8"/>
        <v>1.7033500000000003E-2</v>
      </c>
      <c r="H28" s="102">
        <f t="shared" si="9"/>
        <v>0.42754085000000008</v>
      </c>
      <c r="I28" s="127">
        <f t="shared" si="10"/>
        <v>16.832316929133864</v>
      </c>
      <c r="J28" s="122">
        <f t="shared" si="0"/>
        <v>1.5</v>
      </c>
      <c r="K28" s="103">
        <f t="shared" si="1"/>
        <v>1</v>
      </c>
      <c r="L28" s="96"/>
      <c r="M28" s="7"/>
      <c r="N28" s="36"/>
      <c r="O28" s="99">
        <f t="shared" si="16"/>
        <v>5.1500000000000001E-3</v>
      </c>
      <c r="P28" s="99">
        <f t="shared" si="2"/>
        <v>1.5485000000000001E-2</v>
      </c>
      <c r="Q28" s="7"/>
      <c r="R28" s="7"/>
      <c r="S28" s="7"/>
      <c r="T28" s="159">
        <f t="shared" si="14"/>
        <v>1.7</v>
      </c>
      <c r="U28" s="164">
        <f t="shared" si="15"/>
        <v>0.63839999999999997</v>
      </c>
      <c r="X28"/>
    </row>
    <row r="29" spans="1:25" x14ac:dyDescent="0.25">
      <c r="A29" s="116">
        <v>2</v>
      </c>
      <c r="B29" s="128">
        <f t="shared" si="3"/>
        <v>15900</v>
      </c>
      <c r="C29" s="61">
        <f t="shared" si="4"/>
        <v>1.7000000000000001E-2</v>
      </c>
      <c r="D29" s="62">
        <f t="shared" si="5"/>
        <v>0.27029999999999998</v>
      </c>
      <c r="E29" s="16">
        <f t="shared" si="6"/>
        <v>10.641732283464568</v>
      </c>
      <c r="F29" s="128">
        <f t="shared" si="7"/>
        <v>23900</v>
      </c>
      <c r="G29" s="61">
        <f t="shared" si="8"/>
        <v>1.8700000000000001E-2</v>
      </c>
      <c r="H29" s="62">
        <f t="shared" si="9"/>
        <v>0.44692999999999999</v>
      </c>
      <c r="I29" s="16">
        <f t="shared" si="10"/>
        <v>17.595669291338584</v>
      </c>
      <c r="J29" s="123">
        <f t="shared" si="0"/>
        <v>1.5</v>
      </c>
      <c r="K29" s="104">
        <f t="shared" si="1"/>
        <v>1</v>
      </c>
      <c r="L29" s="44"/>
      <c r="M29" s="7"/>
      <c r="N29" s="36"/>
      <c r="O29" s="99">
        <f t="shared" si="16"/>
        <v>5.4999999999999997E-3</v>
      </c>
      <c r="P29" s="99">
        <f t="shared" si="2"/>
        <v>1.7000000000000001E-2</v>
      </c>
      <c r="Q29" s="7"/>
      <c r="R29" s="7"/>
      <c r="S29" s="7"/>
      <c r="T29" s="47">
        <f t="shared" si="14"/>
        <v>1.8</v>
      </c>
      <c r="U29" s="162">
        <f t="shared" si="15"/>
        <v>0.63600000000000001</v>
      </c>
      <c r="X29"/>
    </row>
    <row r="30" spans="1:25" x14ac:dyDescent="0.25">
      <c r="A30" s="115">
        <v>2.1</v>
      </c>
      <c r="B30" s="126">
        <f t="shared" si="3"/>
        <v>15200</v>
      </c>
      <c r="C30" s="101">
        <f t="shared" si="4"/>
        <v>1.8585000000000001E-2</v>
      </c>
      <c r="D30" s="102">
        <f t="shared" si="5"/>
        <v>0.28249200000000002</v>
      </c>
      <c r="E30" s="127">
        <f t="shared" si="6"/>
        <v>11.121732283464569</v>
      </c>
      <c r="F30" s="126">
        <f t="shared" si="7"/>
        <v>22700</v>
      </c>
      <c r="G30" s="101">
        <f t="shared" si="8"/>
        <v>2.0443500000000003E-2</v>
      </c>
      <c r="H30" s="102">
        <f t="shared" si="9"/>
        <v>0.46406745000000005</v>
      </c>
      <c r="I30" s="127">
        <f t="shared" si="10"/>
        <v>18.270372047244098</v>
      </c>
      <c r="J30" s="122">
        <f t="shared" si="0"/>
        <v>1.5</v>
      </c>
      <c r="K30" s="103">
        <f t="shared" si="1"/>
        <v>1</v>
      </c>
      <c r="L30" s="96"/>
      <c r="M30" s="7"/>
      <c r="N30" s="36"/>
      <c r="O30" s="99">
        <f t="shared" si="16"/>
        <v>5.8499999999999993E-3</v>
      </c>
      <c r="P30" s="99">
        <f t="shared" si="2"/>
        <v>1.8585000000000001E-2</v>
      </c>
      <c r="Q30" s="7"/>
      <c r="R30" s="7"/>
      <c r="S30" s="7"/>
      <c r="T30" s="159">
        <f t="shared" si="14"/>
        <v>1.9000000000000001</v>
      </c>
      <c r="U30" s="164">
        <f t="shared" si="15"/>
        <v>0.63840000000000008</v>
      </c>
      <c r="X30"/>
    </row>
    <row r="31" spans="1:25" x14ac:dyDescent="0.25">
      <c r="A31" s="116">
        <v>2.2000000000000002</v>
      </c>
      <c r="B31" s="128">
        <f t="shared" si="3"/>
        <v>15000</v>
      </c>
      <c r="C31" s="61">
        <f t="shared" si="4"/>
        <v>2.0240000000000001E-2</v>
      </c>
      <c r="D31" s="62">
        <f t="shared" si="5"/>
        <v>0.30360000000000004</v>
      </c>
      <c r="E31" s="16">
        <f t="shared" si="6"/>
        <v>11.952755905511813</v>
      </c>
      <c r="F31" s="128">
        <f t="shared" si="7"/>
        <v>21700</v>
      </c>
      <c r="G31" s="61">
        <f t="shared" si="8"/>
        <v>2.2264000000000003E-2</v>
      </c>
      <c r="H31" s="62">
        <f t="shared" si="9"/>
        <v>0.48312880000000008</v>
      </c>
      <c r="I31" s="16">
        <f t="shared" si="10"/>
        <v>19.020818897637799</v>
      </c>
      <c r="J31" s="123">
        <f t="shared" si="0"/>
        <v>1.5</v>
      </c>
      <c r="K31" s="104">
        <f t="shared" si="1"/>
        <v>1</v>
      </c>
      <c r="L31" s="44"/>
      <c r="M31" s="7"/>
      <c r="N31" s="36"/>
      <c r="O31" s="99">
        <f t="shared" si="16"/>
        <v>6.1999999999999989E-3</v>
      </c>
      <c r="P31" s="99">
        <f t="shared" si="2"/>
        <v>2.0240000000000001E-2</v>
      </c>
      <c r="Q31" s="7"/>
      <c r="R31" s="7"/>
      <c r="S31" s="7"/>
      <c r="T31" s="47">
        <f t="shared" si="14"/>
        <v>2</v>
      </c>
      <c r="U31" s="162">
        <f t="shared" si="15"/>
        <v>0.66000000000000014</v>
      </c>
      <c r="X31"/>
    </row>
    <row r="32" spans="1:25" x14ac:dyDescent="0.25">
      <c r="A32" s="115">
        <v>2.2999999999999998</v>
      </c>
      <c r="B32" s="126">
        <f t="shared" si="3"/>
        <v>15000</v>
      </c>
      <c r="C32" s="101">
        <f t="shared" si="4"/>
        <v>2.1964999999999998E-2</v>
      </c>
      <c r="D32" s="102">
        <f t="shared" si="5"/>
        <v>0.32947499999999996</v>
      </c>
      <c r="E32" s="127">
        <f t="shared" si="6"/>
        <v>12.971456692913385</v>
      </c>
      <c r="F32" s="126">
        <f t="shared" si="7"/>
        <v>20800</v>
      </c>
      <c r="G32" s="101">
        <f t="shared" si="8"/>
        <v>2.4161499999999999E-2</v>
      </c>
      <c r="H32" s="102">
        <f t="shared" si="9"/>
        <v>0.50255919999999998</v>
      </c>
      <c r="I32" s="127">
        <f t="shared" si="10"/>
        <v>19.785795275590552</v>
      </c>
      <c r="J32" s="122">
        <f t="shared" si="0"/>
        <v>1.5</v>
      </c>
      <c r="K32" s="103">
        <f t="shared" si="1"/>
        <v>1</v>
      </c>
      <c r="L32" s="96"/>
      <c r="M32" s="7"/>
      <c r="N32" s="36"/>
      <c r="O32" s="99">
        <f t="shared" si="16"/>
        <v>6.5499999999999985E-3</v>
      </c>
      <c r="P32" s="99">
        <f t="shared" si="2"/>
        <v>2.1964999999999998E-2</v>
      </c>
      <c r="Q32" s="7"/>
      <c r="R32" s="7"/>
      <c r="S32" s="7"/>
      <c r="T32" s="159">
        <f t="shared" si="14"/>
        <v>2.0999999999999996</v>
      </c>
      <c r="U32" s="164">
        <f t="shared" si="15"/>
        <v>0.69</v>
      </c>
      <c r="X32"/>
    </row>
    <row r="33" spans="1:24" x14ac:dyDescent="0.25">
      <c r="A33" s="116">
        <v>2.4</v>
      </c>
      <c r="B33" s="128">
        <f t="shared" si="3"/>
        <v>15000</v>
      </c>
      <c r="C33" s="61">
        <f t="shared" si="4"/>
        <v>2.3759999999999996E-2</v>
      </c>
      <c r="D33" s="62">
        <f t="shared" si="5"/>
        <v>0.35639999999999994</v>
      </c>
      <c r="E33" s="16">
        <f t="shared" si="6"/>
        <v>14.031496062992124</v>
      </c>
      <c r="F33" s="128">
        <f t="shared" si="7"/>
        <v>19900</v>
      </c>
      <c r="G33" s="61">
        <f t="shared" si="8"/>
        <v>2.6136E-2</v>
      </c>
      <c r="H33" s="62">
        <f t="shared" si="9"/>
        <v>0.52010639999999997</v>
      </c>
      <c r="I33" s="16">
        <f t="shared" si="10"/>
        <v>20.476629921259843</v>
      </c>
      <c r="J33" s="123">
        <f t="shared" si="0"/>
        <v>1.5</v>
      </c>
      <c r="K33" s="104">
        <f t="shared" si="1"/>
        <v>1</v>
      </c>
      <c r="L33" s="44"/>
      <c r="M33" s="7"/>
      <c r="N33" s="36"/>
      <c r="O33" s="99">
        <f t="shared" si="16"/>
        <v>6.8999999999999981E-3</v>
      </c>
      <c r="P33" s="99">
        <f t="shared" si="2"/>
        <v>2.3759999999999996E-2</v>
      </c>
      <c r="Q33" s="7"/>
      <c r="R33" s="7"/>
      <c r="S33" s="7"/>
      <c r="T33" s="47">
        <f t="shared" si="14"/>
        <v>2.1999999999999997</v>
      </c>
      <c r="U33" s="162">
        <f t="shared" si="15"/>
        <v>0.72</v>
      </c>
    </row>
    <row r="34" spans="1:24" x14ac:dyDescent="0.25">
      <c r="A34" s="115">
        <v>2.5</v>
      </c>
      <c r="B34" s="126">
        <f t="shared" si="3"/>
        <v>15000</v>
      </c>
      <c r="C34" s="101">
        <f t="shared" si="4"/>
        <v>2.5624999999999995E-2</v>
      </c>
      <c r="D34" s="102">
        <f t="shared" si="5"/>
        <v>0.38437499999999997</v>
      </c>
      <c r="E34" s="127">
        <f t="shared" si="6"/>
        <v>15.13287401574803</v>
      </c>
      <c r="F34" s="126">
        <f t="shared" si="7"/>
        <v>19100</v>
      </c>
      <c r="G34" s="101">
        <f t="shared" si="8"/>
        <v>2.8187499999999997E-2</v>
      </c>
      <c r="H34" s="102">
        <f t="shared" si="9"/>
        <v>0.53838124999999992</v>
      </c>
      <c r="I34" s="127">
        <f t="shared" si="10"/>
        <v>21.196112204724407</v>
      </c>
      <c r="J34" s="122">
        <f t="shared" si="0"/>
        <v>1.5</v>
      </c>
      <c r="K34" s="103">
        <f t="shared" si="1"/>
        <v>1</v>
      </c>
      <c r="L34" s="96"/>
      <c r="M34" s="7"/>
      <c r="N34" s="36"/>
      <c r="O34" s="99">
        <f t="shared" si="16"/>
        <v>7.2499999999999978E-3</v>
      </c>
      <c r="P34" s="99">
        <f t="shared" si="2"/>
        <v>2.5624999999999995E-2</v>
      </c>
      <c r="Q34" s="7"/>
      <c r="R34" s="7"/>
      <c r="S34" s="7"/>
      <c r="T34" s="159">
        <f t="shared" si="14"/>
        <v>2.2999999999999998</v>
      </c>
      <c r="U34" s="164">
        <f t="shared" si="15"/>
        <v>0.75</v>
      </c>
    </row>
    <row r="35" spans="1:24" x14ac:dyDescent="0.25">
      <c r="A35" s="116">
        <v>2.6</v>
      </c>
      <c r="B35" s="128">
        <f t="shared" si="3"/>
        <v>15000</v>
      </c>
      <c r="C35" s="61">
        <f t="shared" si="4"/>
        <v>2.7559999999999998E-2</v>
      </c>
      <c r="D35" s="62">
        <f t="shared" si="5"/>
        <v>0.41339999999999999</v>
      </c>
      <c r="E35" s="16">
        <f t="shared" si="6"/>
        <v>16.275590551181104</v>
      </c>
      <c r="F35" s="128">
        <f t="shared" si="7"/>
        <v>18400</v>
      </c>
      <c r="G35" s="61">
        <f t="shared" si="8"/>
        <v>3.0315999999999999E-2</v>
      </c>
      <c r="H35" s="62">
        <f t="shared" si="9"/>
        <v>0.55781439999999993</v>
      </c>
      <c r="I35" s="16">
        <f t="shared" si="10"/>
        <v>21.961196850393701</v>
      </c>
      <c r="J35" s="123">
        <f t="shared" si="0"/>
        <v>1.5</v>
      </c>
      <c r="K35" s="104">
        <f t="shared" si="1"/>
        <v>1</v>
      </c>
      <c r="L35" s="44"/>
      <c r="M35" s="7"/>
      <c r="N35" s="36"/>
      <c r="O35" s="99">
        <f t="shared" si="16"/>
        <v>7.5999999999999974E-3</v>
      </c>
      <c r="P35" s="99">
        <f t="shared" si="2"/>
        <v>2.7559999999999998E-2</v>
      </c>
      <c r="Q35" s="7"/>
      <c r="R35" s="7"/>
      <c r="S35" s="7"/>
      <c r="T35" s="47">
        <f t="shared" si="14"/>
        <v>2.4</v>
      </c>
      <c r="U35" s="162">
        <f t="shared" si="15"/>
        <v>0.78000000000000014</v>
      </c>
    </row>
    <row r="36" spans="1:24" x14ac:dyDescent="0.25">
      <c r="A36" s="115">
        <v>2.7</v>
      </c>
      <c r="B36" s="126">
        <f t="shared" si="3"/>
        <v>15000</v>
      </c>
      <c r="C36" s="101">
        <f t="shared" si="4"/>
        <v>2.9564999999999998E-2</v>
      </c>
      <c r="D36" s="102">
        <f t="shared" si="5"/>
        <v>0.44347499999999995</v>
      </c>
      <c r="E36" s="127">
        <f t="shared" si="6"/>
        <v>17.459645669291337</v>
      </c>
      <c r="F36" s="126">
        <f t="shared" si="7"/>
        <v>17700</v>
      </c>
      <c r="G36" s="101">
        <f t="shared" si="8"/>
        <v>3.2521500000000002E-2</v>
      </c>
      <c r="H36" s="102">
        <f t="shared" si="9"/>
        <v>0.57563055000000007</v>
      </c>
      <c r="I36" s="127">
        <f t="shared" si="10"/>
        <v>22.662620078740161</v>
      </c>
      <c r="J36" s="122">
        <f t="shared" si="0"/>
        <v>1.5</v>
      </c>
      <c r="K36" s="103">
        <f t="shared" si="1"/>
        <v>1</v>
      </c>
      <c r="L36" s="96"/>
      <c r="M36" s="7"/>
      <c r="N36" s="36"/>
      <c r="O36" s="99">
        <f t="shared" si="16"/>
        <v>7.949999999999997E-3</v>
      </c>
      <c r="P36" s="99">
        <f t="shared" si="2"/>
        <v>2.9564999999999998E-2</v>
      </c>
      <c r="Q36" s="7"/>
      <c r="R36" s="7"/>
      <c r="S36" s="7"/>
      <c r="T36" s="159">
        <f t="shared" si="14"/>
        <v>2.5</v>
      </c>
      <c r="U36" s="164">
        <f t="shared" si="15"/>
        <v>0.81000000000000016</v>
      </c>
    </row>
    <row r="37" spans="1:24" x14ac:dyDescent="0.25">
      <c r="A37" s="116">
        <v>2.8</v>
      </c>
      <c r="B37" s="128">
        <f t="shared" si="3"/>
        <v>15000</v>
      </c>
      <c r="C37" s="61">
        <f t="shared" si="4"/>
        <v>3.1639999999999995E-2</v>
      </c>
      <c r="D37" s="62">
        <f t="shared" si="5"/>
        <v>0.47459999999999991</v>
      </c>
      <c r="E37" s="16">
        <f t="shared" si="6"/>
        <v>18.685039370078737</v>
      </c>
      <c r="F37" s="128">
        <f t="shared" si="7"/>
        <v>17100</v>
      </c>
      <c r="G37" s="61">
        <f t="shared" si="8"/>
        <v>3.4803999999999995E-2</v>
      </c>
      <c r="H37" s="62">
        <f t="shared" si="9"/>
        <v>0.59514839999999991</v>
      </c>
      <c r="I37" s="16">
        <f t="shared" si="10"/>
        <v>23.431039370078739</v>
      </c>
      <c r="J37" s="123">
        <f t="shared" si="0"/>
        <v>1.5</v>
      </c>
      <c r="K37" s="104">
        <f t="shared" si="1"/>
        <v>1</v>
      </c>
      <c r="L37" s="44"/>
      <c r="M37" s="7"/>
      <c r="N37" s="36"/>
      <c r="O37" s="99">
        <f t="shared" si="16"/>
        <v>8.2999999999999966E-3</v>
      </c>
      <c r="P37" s="99">
        <f t="shared" si="2"/>
        <v>3.1639999999999995E-2</v>
      </c>
      <c r="Q37" s="7"/>
      <c r="R37" s="7"/>
      <c r="S37" s="7"/>
      <c r="T37" s="47">
        <f t="shared" si="14"/>
        <v>2.5999999999999996</v>
      </c>
      <c r="U37" s="162">
        <f t="shared" si="15"/>
        <v>0.83999999999999986</v>
      </c>
    </row>
    <row r="38" spans="1:24" x14ac:dyDescent="0.25">
      <c r="A38" s="115">
        <v>2.9</v>
      </c>
      <c r="B38" s="126">
        <f t="shared" si="3"/>
        <v>15000</v>
      </c>
      <c r="C38" s="101">
        <f t="shared" si="4"/>
        <v>3.3784999999999989E-2</v>
      </c>
      <c r="D38" s="102">
        <f t="shared" si="5"/>
        <v>0.50677499999999975</v>
      </c>
      <c r="E38" s="127">
        <f t="shared" si="6"/>
        <v>19.951771653543297</v>
      </c>
      <c r="F38" s="126">
        <f t="shared" si="7"/>
        <v>16500</v>
      </c>
      <c r="G38" s="101">
        <f t="shared" si="8"/>
        <v>3.7163499999999988E-2</v>
      </c>
      <c r="H38" s="102">
        <f t="shared" si="9"/>
        <v>0.61319774999999976</v>
      </c>
      <c r="I38" s="127">
        <f t="shared" si="10"/>
        <v>24.141643700787395</v>
      </c>
      <c r="J38" s="122">
        <f t="shared" si="0"/>
        <v>1.5</v>
      </c>
      <c r="K38" s="103">
        <f t="shared" si="1"/>
        <v>1</v>
      </c>
      <c r="L38" s="96"/>
      <c r="M38" s="7"/>
      <c r="N38" s="36"/>
      <c r="O38" s="99">
        <f t="shared" si="16"/>
        <v>8.6499999999999962E-3</v>
      </c>
      <c r="P38" s="99">
        <f t="shared" si="2"/>
        <v>3.3784999999999989E-2</v>
      </c>
      <c r="Q38" s="7"/>
      <c r="R38" s="7"/>
      <c r="S38" s="7"/>
      <c r="T38" s="159">
        <f t="shared" si="14"/>
        <v>2.6999999999999997</v>
      </c>
      <c r="U38" s="164">
        <f t="shared" si="15"/>
        <v>0.86999999999999988</v>
      </c>
    </row>
    <row r="39" spans="1:24" ht="16.5" thickBot="1" x14ac:dyDescent="0.3">
      <c r="A39" s="117">
        <v>3</v>
      </c>
      <c r="B39" s="129">
        <f t="shared" si="3"/>
        <v>15000</v>
      </c>
      <c r="C39" s="130">
        <f t="shared" si="4"/>
        <v>3.599999999999999E-2</v>
      </c>
      <c r="D39" s="131">
        <f t="shared" si="5"/>
        <v>0.53999999999999992</v>
      </c>
      <c r="E39" s="17">
        <f t="shared" si="6"/>
        <v>21.259842519685037</v>
      </c>
      <c r="F39" s="129">
        <f t="shared" si="7"/>
        <v>15900</v>
      </c>
      <c r="G39" s="130">
        <f t="shared" si="8"/>
        <v>3.9599999999999989E-2</v>
      </c>
      <c r="H39" s="131">
        <f t="shared" si="9"/>
        <v>0.62963999999999987</v>
      </c>
      <c r="I39" s="17">
        <f t="shared" si="10"/>
        <v>24.788976377952753</v>
      </c>
      <c r="J39" s="123">
        <f t="shared" si="0"/>
        <v>1.5</v>
      </c>
      <c r="K39" s="104">
        <f t="shared" si="1"/>
        <v>1</v>
      </c>
      <c r="L39" s="45"/>
      <c r="M39" s="7"/>
      <c r="N39" s="36"/>
      <c r="O39" s="99">
        <f t="shared" si="16"/>
        <v>8.9999999999999959E-3</v>
      </c>
      <c r="P39" s="99">
        <f t="shared" si="2"/>
        <v>3.599999999999999E-2</v>
      </c>
      <c r="Q39" s="7"/>
      <c r="R39" s="7"/>
      <c r="S39" s="7"/>
      <c r="T39" s="47">
        <f t="shared" si="14"/>
        <v>2.8</v>
      </c>
      <c r="U39" s="162">
        <f t="shared" si="15"/>
        <v>0.9</v>
      </c>
    </row>
    <row r="40" spans="1:24" x14ac:dyDescent="0.25">
      <c r="A40" s="7"/>
      <c r="B40" s="7"/>
      <c r="C40" s="7"/>
      <c r="D40" s="9"/>
      <c r="E40" s="9"/>
      <c r="F40" s="9"/>
      <c r="G40" s="8"/>
      <c r="H40" s="9"/>
      <c r="I40" s="7"/>
      <c r="J40" s="18"/>
      <c r="K40" s="28" t="s">
        <v>43</v>
      </c>
      <c r="L40" s="7"/>
      <c r="M40" s="7"/>
      <c r="N40" s="7"/>
      <c r="O40" s="34"/>
      <c r="P40" s="34"/>
      <c r="Q40" s="7"/>
      <c r="R40" s="7"/>
      <c r="S40" s="7"/>
      <c r="T40" s="7"/>
      <c r="U40" s="7"/>
    </row>
    <row r="41" spans="1:24" x14ac:dyDescent="0.25">
      <c r="A41" s="7"/>
      <c r="B41" s="7"/>
      <c r="C41" s="7"/>
      <c r="D41" s="20"/>
      <c r="E41" s="20"/>
      <c r="F41" s="9"/>
      <c r="G41" s="8"/>
      <c r="H41" s="8"/>
      <c r="I41" s="8"/>
      <c r="J41" s="8"/>
      <c r="K41" s="8"/>
      <c r="L41" s="7"/>
      <c r="M41" s="32"/>
      <c r="N41" s="32"/>
      <c r="O41" s="33"/>
      <c r="P41" s="34"/>
      <c r="Q41" s="7"/>
      <c r="R41" s="7"/>
      <c r="S41" s="7"/>
      <c r="T41" s="7"/>
      <c r="U41" s="7"/>
    </row>
    <row r="42" spans="1:24" x14ac:dyDescent="0.25">
      <c r="A42" s="8"/>
      <c r="B42" s="19"/>
      <c r="C42" s="20"/>
      <c r="D42" s="20"/>
      <c r="E42" s="20"/>
      <c r="F42" s="9"/>
      <c r="G42" s="8"/>
      <c r="H42" s="8"/>
      <c r="I42" s="8"/>
      <c r="J42" s="7"/>
      <c r="K42" s="7"/>
      <c r="L42" s="1"/>
      <c r="M42" s="1"/>
      <c r="N42" s="1"/>
      <c r="O42" s="1"/>
      <c r="P42" s="1"/>
      <c r="Q42" s="1"/>
      <c r="R42" s="7"/>
      <c r="S42" s="7"/>
      <c r="T42" s="7"/>
      <c r="U42" s="7"/>
    </row>
    <row r="43" spans="1:24" ht="25.5" x14ac:dyDescent="0.35">
      <c r="I43" s="40"/>
      <c r="J43" s="7"/>
      <c r="K43" s="1"/>
      <c r="L43" s="1"/>
      <c r="M43" s="1"/>
      <c r="N43" s="1"/>
      <c r="O43" s="1"/>
      <c r="P43" s="1"/>
      <c r="Q43" s="1"/>
      <c r="R43" s="40"/>
      <c r="S43" s="41"/>
      <c r="T43" s="41"/>
      <c r="U43" s="41"/>
    </row>
    <row r="44" spans="1:24" ht="25.5" x14ac:dyDescent="0.35">
      <c r="A44" s="256" t="s">
        <v>15</v>
      </c>
      <c r="B44" s="257"/>
      <c r="C44" s="258" t="s">
        <v>16</v>
      </c>
      <c r="D44" s="259"/>
      <c r="E44" s="259"/>
      <c r="F44" s="260"/>
      <c r="G44" s="39"/>
      <c r="H44" s="40"/>
      <c r="I44" s="1"/>
      <c r="J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4" ht="16.5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4" ht="16.5" thickBot="1" x14ac:dyDescent="0.3">
      <c r="A46" s="261" t="s">
        <v>0</v>
      </c>
      <c r="B46" s="262"/>
      <c r="C46" s="154" t="s">
        <v>17</v>
      </c>
      <c r="D46" s="155" t="s">
        <v>18</v>
      </c>
      <c r="E46" s="155" t="s">
        <v>19</v>
      </c>
      <c r="F46" s="156" t="s">
        <v>11</v>
      </c>
      <c r="G46" s="157" t="s">
        <v>27</v>
      </c>
      <c r="H46" s="158" t="s">
        <v>34</v>
      </c>
      <c r="I46" s="265" t="s">
        <v>2</v>
      </c>
      <c r="J46" s="266"/>
      <c r="K46" s="266"/>
      <c r="L46" s="267"/>
      <c r="M46" s="1"/>
      <c r="N46" s="1"/>
      <c r="O46" s="1"/>
      <c r="P46" s="1"/>
      <c r="Q46" s="1"/>
      <c r="R46" s="1"/>
      <c r="S46" s="1"/>
      <c r="T46" s="1"/>
      <c r="U46" s="1"/>
    </row>
    <row r="47" spans="1:24" s="64" customFormat="1" ht="16.5" thickBot="1" x14ac:dyDescent="0.3">
      <c r="A47" s="5"/>
      <c r="B47" s="1"/>
      <c r="C47" s="150" t="s">
        <v>5</v>
      </c>
      <c r="D47" s="150" t="s">
        <v>5</v>
      </c>
      <c r="E47" s="150" t="s">
        <v>14</v>
      </c>
      <c r="F47" s="151" t="s">
        <v>3</v>
      </c>
      <c r="G47" s="152" t="s">
        <v>14</v>
      </c>
      <c r="H47" s="153" t="s">
        <v>35</v>
      </c>
      <c r="I47" s="261"/>
      <c r="J47" s="262"/>
      <c r="M47" s="68"/>
      <c r="N47" s="68"/>
      <c r="O47" s="68"/>
      <c r="P47" s="68"/>
      <c r="Q47" s="68"/>
      <c r="R47" s="68"/>
      <c r="S47" s="68"/>
      <c r="T47" s="68"/>
      <c r="U47" s="68"/>
      <c r="X47" s="108"/>
    </row>
    <row r="48" spans="1:24" s="81" customFormat="1" ht="17.25" thickTop="1" thickBot="1" x14ac:dyDescent="0.3">
      <c r="A48" s="263" t="str">
        <f>B2</f>
        <v>Al/Cu; IMS</v>
      </c>
      <c r="B48" s="264"/>
      <c r="C48" s="80">
        <f t="shared" ref="C48:L48" si="17">IF($B$2=$A50,C50)+IF($B$2=$A51,C51)+IF($B$2=$A52,C52)+IF($B$2=$A53,C53)+IF($B$2=$A54,C54)+IF($B$2=$A55,C55)+IF($B$2=$A56,C56)+IF($B$2=$A57,C57)+IF($B$2=$A58,C58)+IF($B$2=$A59,C59)+IF($B$2=$A60,C60)+IF($B$2=$A61,C61)+IF($B$2=$A62,C62)</f>
        <v>100</v>
      </c>
      <c r="D48" s="80">
        <f t="shared" si="17"/>
        <v>150</v>
      </c>
      <c r="E48" s="80">
        <f t="shared" si="17"/>
        <v>0.3</v>
      </c>
      <c r="F48" s="80">
        <f t="shared" si="17"/>
        <v>1.5</v>
      </c>
      <c r="G48" s="80">
        <f t="shared" si="17"/>
        <v>1</v>
      </c>
      <c r="H48" s="146">
        <f t="shared" si="17"/>
        <v>1</v>
      </c>
      <c r="I48" s="147"/>
      <c r="J48" s="148"/>
      <c r="K48" s="148"/>
      <c r="L48" s="149">
        <f t="shared" si="17"/>
        <v>4</v>
      </c>
      <c r="M48" s="95"/>
      <c r="N48" s="95"/>
      <c r="O48" s="95"/>
      <c r="P48" s="95"/>
      <c r="Q48" s="95"/>
      <c r="R48" s="95"/>
      <c r="S48" s="95"/>
      <c r="T48" s="95"/>
      <c r="U48" s="95"/>
      <c r="V48" s="95"/>
      <c r="X48" s="108"/>
    </row>
    <row r="49" spans="1:21" customFormat="1" ht="17.25" thickTop="1" thickBot="1" x14ac:dyDescent="0.3">
      <c r="A49" s="64"/>
      <c r="B49" s="26"/>
      <c r="C49" s="26"/>
      <c r="D49" s="26"/>
      <c r="E49" s="65"/>
      <c r="F49" s="26"/>
      <c r="G49" s="98"/>
      <c r="H49" s="136"/>
      <c r="I49" s="1"/>
      <c r="M49" s="1"/>
      <c r="N49" s="1"/>
      <c r="O49" s="1"/>
      <c r="P49" s="1"/>
      <c r="Q49" s="1"/>
      <c r="R49" s="1"/>
      <c r="S49" s="1"/>
      <c r="T49" s="1"/>
      <c r="U49" s="1"/>
    </row>
    <row r="50" spans="1:21" customFormat="1" ht="15" x14ac:dyDescent="0.25">
      <c r="A50" s="251" t="s">
        <v>25</v>
      </c>
      <c r="B50" s="252"/>
      <c r="C50" s="21">
        <v>150</v>
      </c>
      <c r="D50" s="21">
        <v>200</v>
      </c>
      <c r="E50" s="66">
        <v>1</v>
      </c>
      <c r="F50" s="105">
        <v>6</v>
      </c>
      <c r="G50" s="97">
        <v>3</v>
      </c>
      <c r="H50" s="97">
        <v>0.2</v>
      </c>
      <c r="I50" s="141" t="s">
        <v>40</v>
      </c>
      <c r="L50">
        <v>1</v>
      </c>
      <c r="M50" s="1"/>
      <c r="N50" s="1"/>
      <c r="O50" s="1"/>
      <c r="P50" s="1"/>
      <c r="Q50" s="1"/>
      <c r="R50" s="1"/>
      <c r="S50" s="1"/>
      <c r="T50" s="1"/>
      <c r="U50" s="1"/>
    </row>
    <row r="51" spans="1:21" customFormat="1" ht="15" x14ac:dyDescent="0.25">
      <c r="A51" s="251" t="s">
        <v>33</v>
      </c>
      <c r="B51" s="252"/>
      <c r="C51" s="23">
        <v>150</v>
      </c>
      <c r="D51" s="23">
        <v>180</v>
      </c>
      <c r="E51" s="67">
        <v>0.8</v>
      </c>
      <c r="F51" s="24">
        <v>3</v>
      </c>
      <c r="G51" s="97">
        <f>F51/1.5</f>
        <v>2</v>
      </c>
      <c r="H51" s="97">
        <v>0.5</v>
      </c>
      <c r="I51" s="141" t="s">
        <v>36</v>
      </c>
      <c r="L51">
        <v>2</v>
      </c>
      <c r="M51" s="1"/>
      <c r="N51" s="1"/>
      <c r="O51" s="1"/>
      <c r="P51" s="1"/>
    </row>
    <row r="52" spans="1:21" customFormat="1" ht="15" x14ac:dyDescent="0.25">
      <c r="A52" s="251" t="s">
        <v>26</v>
      </c>
      <c r="B52" s="252"/>
      <c r="C52" s="23">
        <v>150</v>
      </c>
      <c r="D52" s="23">
        <v>180</v>
      </c>
      <c r="E52" s="23">
        <v>1.5</v>
      </c>
      <c r="F52" s="24">
        <v>3</v>
      </c>
      <c r="G52" s="97">
        <f>F52/1.5</f>
        <v>2</v>
      </c>
      <c r="H52" s="97">
        <v>0.5</v>
      </c>
      <c r="I52" s="141" t="s">
        <v>37</v>
      </c>
      <c r="L52">
        <v>3</v>
      </c>
      <c r="M52" s="1"/>
      <c r="N52" s="1"/>
      <c r="O52" s="1"/>
      <c r="P52" s="1"/>
    </row>
    <row r="53" spans="1:21" customFormat="1" ht="15" x14ac:dyDescent="0.25">
      <c r="A53" s="251" t="s">
        <v>20</v>
      </c>
      <c r="B53" s="252"/>
      <c r="C53" s="23">
        <v>100</v>
      </c>
      <c r="D53" s="23">
        <v>150</v>
      </c>
      <c r="E53" s="23">
        <v>0.3</v>
      </c>
      <c r="F53" s="25">
        <v>1.5</v>
      </c>
      <c r="G53" s="97">
        <f>F53/1.5</f>
        <v>1</v>
      </c>
      <c r="H53" s="97">
        <v>1</v>
      </c>
      <c r="I53" s="141" t="s">
        <v>21</v>
      </c>
      <c r="L53">
        <v>4</v>
      </c>
      <c r="M53" s="1"/>
      <c r="N53" s="1"/>
      <c r="O53" s="1"/>
      <c r="P53" s="1"/>
    </row>
    <row r="54" spans="1:21" customFormat="1" ht="15" x14ac:dyDescent="0.25">
      <c r="A54" s="251" t="s">
        <v>24</v>
      </c>
      <c r="B54" s="252"/>
      <c r="C54" s="23">
        <v>200</v>
      </c>
      <c r="D54" s="23">
        <v>250</v>
      </c>
      <c r="E54" s="23">
        <v>0.5</v>
      </c>
      <c r="F54" s="25">
        <v>1.5</v>
      </c>
      <c r="G54" s="97">
        <f>F54/1.5</f>
        <v>1</v>
      </c>
      <c r="H54" s="97">
        <v>0.8</v>
      </c>
      <c r="I54" s="141" t="s">
        <v>22</v>
      </c>
      <c r="L54">
        <v>5</v>
      </c>
      <c r="M54" s="1"/>
      <c r="N54" s="1"/>
      <c r="O54" s="1"/>
      <c r="P54" s="1"/>
    </row>
    <row r="55" spans="1:21" customFormat="1" ht="15" x14ac:dyDescent="0.25">
      <c r="A55" s="251" t="s">
        <v>32</v>
      </c>
      <c r="B55" s="252"/>
      <c r="C55" s="23">
        <v>200</v>
      </c>
      <c r="D55" s="23">
        <v>250</v>
      </c>
      <c r="E55" s="23">
        <v>0.5</v>
      </c>
      <c r="F55" s="24">
        <v>3</v>
      </c>
      <c r="G55" s="97">
        <f>F55/1.5</f>
        <v>2</v>
      </c>
      <c r="H55" s="97">
        <v>0.8</v>
      </c>
      <c r="I55" s="141" t="s">
        <v>23</v>
      </c>
      <c r="L55">
        <v>6</v>
      </c>
      <c r="M55" s="1"/>
      <c r="N55" s="1"/>
      <c r="O55" s="1"/>
      <c r="P55" s="1"/>
    </row>
    <row r="56" spans="1:21" customFormat="1" ht="15" x14ac:dyDescent="0.25">
      <c r="A56" s="251"/>
      <c r="B56" s="252"/>
      <c r="C56" s="23"/>
      <c r="D56" s="23"/>
      <c r="E56" s="23"/>
      <c r="F56" s="24"/>
      <c r="G56" s="97"/>
      <c r="H56" s="97"/>
      <c r="I56" s="142"/>
      <c r="L56">
        <v>7</v>
      </c>
      <c r="M56" s="1"/>
      <c r="N56" s="1"/>
      <c r="O56" s="1"/>
      <c r="P56" s="1"/>
    </row>
    <row r="57" spans="1:21" customFormat="1" ht="15" x14ac:dyDescent="0.25">
      <c r="A57" s="251"/>
      <c r="B57" s="252"/>
      <c r="C57" s="23"/>
      <c r="D57" s="23"/>
      <c r="E57" s="23"/>
      <c r="F57" s="24"/>
      <c r="G57" s="97"/>
      <c r="H57" s="97"/>
      <c r="I57" s="142"/>
      <c r="L57">
        <v>8</v>
      </c>
      <c r="M57" s="1"/>
      <c r="N57" s="1"/>
      <c r="O57" s="1"/>
      <c r="P57" s="1"/>
    </row>
    <row r="58" spans="1:21" customFormat="1" ht="15" x14ac:dyDescent="0.25">
      <c r="A58" s="251"/>
      <c r="B58" s="252"/>
      <c r="C58" s="23"/>
      <c r="D58" s="23"/>
      <c r="E58" s="67"/>
      <c r="F58" s="24"/>
      <c r="G58" s="97"/>
      <c r="H58" s="135"/>
      <c r="I58" s="142"/>
      <c r="L58">
        <v>9</v>
      </c>
      <c r="M58" s="1"/>
      <c r="N58" s="1"/>
      <c r="O58" s="1"/>
      <c r="P58" s="1"/>
    </row>
    <row r="59" spans="1:21" customFormat="1" ht="15" x14ac:dyDescent="0.25">
      <c r="A59" s="251"/>
      <c r="B59" s="252"/>
      <c r="C59" s="23"/>
      <c r="D59" s="23"/>
      <c r="E59" s="23"/>
      <c r="F59" s="24"/>
      <c r="G59" s="97"/>
      <c r="H59" s="135"/>
      <c r="I59" s="142"/>
      <c r="L59">
        <v>10</v>
      </c>
      <c r="M59" s="1"/>
      <c r="N59" s="1"/>
      <c r="O59" s="1"/>
      <c r="P59" s="1"/>
    </row>
    <row r="60" spans="1:21" customFormat="1" ht="15" x14ac:dyDescent="0.25">
      <c r="A60" s="251"/>
      <c r="B60" s="252"/>
      <c r="C60" s="23"/>
      <c r="D60" s="23"/>
      <c r="E60" s="23"/>
      <c r="F60" s="25"/>
      <c r="G60" s="97"/>
      <c r="H60" s="135"/>
      <c r="I60" s="142"/>
      <c r="L60">
        <v>11</v>
      </c>
      <c r="M60" s="1"/>
      <c r="N60" s="1"/>
      <c r="O60" s="1"/>
      <c r="P60" s="1"/>
    </row>
    <row r="61" spans="1:21" customFormat="1" ht="15" x14ac:dyDescent="0.25">
      <c r="A61" s="251"/>
      <c r="B61" s="252"/>
      <c r="C61" s="23"/>
      <c r="D61" s="23"/>
      <c r="E61" s="23"/>
      <c r="F61" s="25"/>
      <c r="G61" s="97"/>
      <c r="H61" s="135"/>
      <c r="I61" s="142"/>
      <c r="L61">
        <v>12</v>
      </c>
      <c r="M61" s="1"/>
      <c r="N61" s="1"/>
      <c r="O61" s="1"/>
      <c r="P61" s="1"/>
    </row>
    <row r="62" spans="1:21" customFormat="1" ht="15" x14ac:dyDescent="0.25">
      <c r="A62" s="251"/>
      <c r="B62" s="252"/>
      <c r="C62" s="23"/>
      <c r="D62" s="23"/>
      <c r="E62" s="23"/>
      <c r="F62" s="24"/>
      <c r="G62" s="97"/>
      <c r="H62" s="135"/>
      <c r="I62" s="142"/>
      <c r="L62">
        <v>13</v>
      </c>
      <c r="M62" s="2"/>
      <c r="N62" s="1"/>
      <c r="O62" s="35"/>
      <c r="P62" s="1"/>
      <c r="Q62" s="1"/>
      <c r="R62" s="1"/>
      <c r="S62" s="1"/>
      <c r="T62" s="1"/>
      <c r="U62" s="1"/>
    </row>
    <row r="63" spans="1:21" customFormat="1" ht="15" x14ac:dyDescent="0.25">
      <c r="K63" s="1"/>
    </row>
    <row r="64" spans="1:21" customFormat="1" ht="15" x14ac:dyDescent="0.25">
      <c r="K64" s="69"/>
    </row>
    <row r="65" spans="11:11" customFormat="1" ht="15" x14ac:dyDescent="0.25">
      <c r="K65" s="1"/>
    </row>
  </sheetData>
  <mergeCells count="32">
    <mergeCell ref="A60:B60"/>
    <mergeCell ref="A61:B61"/>
    <mergeCell ref="A62:B62"/>
    <mergeCell ref="A54:B54"/>
    <mergeCell ref="A55:B55"/>
    <mergeCell ref="A56:B56"/>
    <mergeCell ref="A57:B57"/>
    <mergeCell ref="A58:B58"/>
    <mergeCell ref="A59:B59"/>
    <mergeCell ref="A53:B53"/>
    <mergeCell ref="D9:E9"/>
    <mergeCell ref="H9:I9"/>
    <mergeCell ref="A44:B44"/>
    <mergeCell ref="C44:F44"/>
    <mergeCell ref="A46:B46"/>
    <mergeCell ref="I46:L46"/>
    <mergeCell ref="I47:J47"/>
    <mergeCell ref="A48:B48"/>
    <mergeCell ref="A50:B50"/>
    <mergeCell ref="A51:B51"/>
    <mergeCell ref="A52:B52"/>
    <mergeCell ref="D6:E6"/>
    <mergeCell ref="H6:I6"/>
    <mergeCell ref="K6:K7"/>
    <mergeCell ref="T6:U6"/>
    <mergeCell ref="C7:E7"/>
    <mergeCell ref="G7:I7"/>
    <mergeCell ref="A1:C1"/>
    <mergeCell ref="D1:G1"/>
    <mergeCell ref="B2:G2"/>
    <mergeCell ref="D3:E3"/>
    <mergeCell ref="D4:E4"/>
  </mergeCells>
  <dataValidations count="1">
    <dataValidation type="list" allowBlank="1" showInputMessage="1" showErrorMessage="1" sqref="B2:C2" xr:uid="{00000000-0002-0000-0400-000000000000}">
      <formula1>$A$50:$A$62</formula1>
    </dataValidation>
  </dataValidations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shapeId="6145" r:id="rId3">
          <objectPr defaultSize="0" autoPict="0" r:id="rId4">
            <anchor moveWithCells="1" sizeWithCells="1">
              <from>
                <xdr:col>7</xdr:col>
                <xdr:colOff>371475</xdr:colOff>
                <xdr:row>0</xdr:row>
                <xdr:rowOff>104775</xdr:rowOff>
              </from>
              <to>
                <xdr:col>10</xdr:col>
                <xdr:colOff>933450</xdr:colOff>
                <xdr:row>1</xdr:row>
                <xdr:rowOff>247650</xdr:rowOff>
              </to>
            </anchor>
          </objectPr>
        </oleObject>
      </mc:Choice>
      <mc:Fallback>
        <oleObject shapeId="6145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65"/>
  <sheetViews>
    <sheetView workbookViewId="0">
      <selection activeCell="G3" sqref="G3:H3"/>
    </sheetView>
  </sheetViews>
  <sheetFormatPr baseColWidth="10" defaultRowHeight="15.75" x14ac:dyDescent="0.25"/>
  <cols>
    <col min="1" max="1" width="23.140625" bestFit="1" customWidth="1"/>
    <col min="2" max="2" width="17" bestFit="1" customWidth="1"/>
    <col min="4" max="4" width="8.5703125" bestFit="1" customWidth="1"/>
    <col min="5" max="5" width="10.85546875" bestFit="1" customWidth="1"/>
    <col min="6" max="6" width="17" bestFit="1" customWidth="1"/>
    <col min="7" max="8" width="14.5703125" customWidth="1"/>
    <col min="9" max="9" width="10" bestFit="1" customWidth="1"/>
    <col min="10" max="10" width="12.5703125" customWidth="1"/>
    <col min="11" max="11" width="15.7109375" customWidth="1"/>
    <col min="12" max="12" width="2.85546875" customWidth="1"/>
    <col min="13" max="14" width="11.42578125" hidden="1" customWidth="1"/>
    <col min="15" max="16" width="9.5703125" hidden="1" customWidth="1"/>
    <col min="17" max="19" width="2" hidden="1" customWidth="1"/>
    <col min="20" max="20" width="8.7109375" customWidth="1"/>
    <col min="21" max="21" width="10.7109375" customWidth="1"/>
    <col min="22" max="23" width="4" customWidth="1"/>
    <col min="24" max="24" width="40.7109375" style="106" customWidth="1"/>
  </cols>
  <sheetData>
    <row r="1" spans="1:25" ht="26.25" customHeight="1" thickBot="1" x14ac:dyDescent="0.3">
      <c r="A1" s="231" t="s">
        <v>62</v>
      </c>
      <c r="B1" s="232"/>
      <c r="C1" s="232"/>
      <c r="D1" s="233"/>
      <c r="E1" s="234"/>
      <c r="F1" s="234"/>
      <c r="G1" s="234"/>
      <c r="H1" s="27">
        <v>1.1000000000000001</v>
      </c>
      <c r="I1" s="4"/>
      <c r="J1" s="3"/>
      <c r="K1" s="3"/>
      <c r="L1" s="3"/>
      <c r="M1" s="29"/>
      <c r="X1" s="106" t="s">
        <v>28</v>
      </c>
      <c r="Y1" t="s">
        <v>50</v>
      </c>
    </row>
    <row r="2" spans="1:25" ht="27" thickBot="1" x14ac:dyDescent="0.45">
      <c r="A2" s="10" t="s">
        <v>0</v>
      </c>
      <c r="B2" s="235" t="s">
        <v>24</v>
      </c>
      <c r="C2" s="236"/>
      <c r="D2" s="236"/>
      <c r="E2" s="236"/>
      <c r="F2" s="236"/>
      <c r="G2" s="237"/>
      <c r="H2" s="58"/>
      <c r="I2" s="59"/>
      <c r="J2" s="3"/>
      <c r="K2" s="3"/>
      <c r="L2" s="3"/>
      <c r="M2" s="4"/>
      <c r="N2" s="4"/>
      <c r="O2" s="4"/>
      <c r="P2" s="30"/>
      <c r="Q2" s="31"/>
      <c r="R2" s="6"/>
      <c r="S2" s="4"/>
      <c r="T2" s="4"/>
      <c r="U2" s="4"/>
      <c r="X2" s="106" t="s">
        <v>42</v>
      </c>
      <c r="Y2" t="s">
        <v>54</v>
      </c>
    </row>
    <row r="3" spans="1:25" ht="16.5" customHeight="1" thickBot="1" x14ac:dyDescent="0.3">
      <c r="A3" s="73" t="s">
        <v>63</v>
      </c>
      <c r="B3" s="74">
        <v>60000</v>
      </c>
      <c r="C3" s="70" t="s">
        <v>68</v>
      </c>
      <c r="D3" s="238" t="s">
        <v>39</v>
      </c>
      <c r="E3" s="239"/>
      <c r="F3" s="168">
        <f>E48</f>
        <v>0.5</v>
      </c>
      <c r="G3" s="76" t="s">
        <v>65</v>
      </c>
      <c r="H3" s="143" t="s">
        <v>67</v>
      </c>
      <c r="I3" s="93"/>
      <c r="J3" s="94"/>
      <c r="K3" s="110"/>
      <c r="L3" s="7"/>
      <c r="M3" s="32"/>
      <c r="N3" s="32"/>
      <c r="O3" s="33"/>
      <c r="P3" s="7"/>
      <c r="Q3" s="7"/>
      <c r="R3" s="7"/>
      <c r="S3" s="7"/>
      <c r="T3" s="7"/>
      <c r="U3" s="7"/>
      <c r="X3" s="106" t="s">
        <v>29</v>
      </c>
      <c r="Y3" t="s">
        <v>51</v>
      </c>
    </row>
    <row r="4" spans="1:25" ht="16.5" customHeight="1" thickBot="1" x14ac:dyDescent="0.3">
      <c r="A4" s="73" t="s">
        <v>64</v>
      </c>
      <c r="B4" s="75">
        <v>15000</v>
      </c>
      <c r="C4" s="71" t="s">
        <v>68</v>
      </c>
      <c r="D4" s="240" t="s">
        <v>66</v>
      </c>
      <c r="E4" s="241"/>
      <c r="F4" s="63">
        <f>F48</f>
        <v>1.5</v>
      </c>
      <c r="G4" s="71" t="s">
        <v>3</v>
      </c>
      <c r="H4" s="163">
        <f>L48</f>
        <v>5</v>
      </c>
      <c r="I4" s="144"/>
      <c r="J4" s="145"/>
      <c r="K4" s="7"/>
      <c r="L4" s="7"/>
      <c r="M4" s="32"/>
      <c r="N4" s="32"/>
      <c r="O4" s="33"/>
      <c r="P4" s="7"/>
      <c r="Q4" s="7"/>
      <c r="R4" s="7"/>
      <c r="S4" s="7"/>
      <c r="T4" s="7"/>
      <c r="U4" s="7"/>
      <c r="X4" s="106" t="s">
        <v>30</v>
      </c>
      <c r="Y4" t="s">
        <v>52</v>
      </c>
    </row>
    <row r="5" spans="1:25" s="92" customFormat="1" ht="18" customHeight="1" thickBot="1" x14ac:dyDescent="0.3">
      <c r="A5" s="82"/>
      <c r="B5" s="83"/>
      <c r="C5" s="84"/>
      <c r="D5" s="85"/>
      <c r="E5" s="86"/>
      <c r="F5" s="87"/>
      <c r="G5" s="84"/>
      <c r="H5" s="88"/>
      <c r="I5" s="89"/>
      <c r="J5" s="90"/>
      <c r="K5" s="91"/>
      <c r="L5" s="91"/>
      <c r="M5" s="33"/>
      <c r="N5" s="33"/>
      <c r="O5" s="33"/>
      <c r="P5" s="91"/>
      <c r="Q5" s="91"/>
      <c r="R5" s="91"/>
      <c r="S5" s="91"/>
      <c r="T5" s="91"/>
      <c r="U5" s="91"/>
      <c r="X5" s="107" t="s">
        <v>31</v>
      </c>
      <c r="Y5" s="92" t="s">
        <v>53</v>
      </c>
    </row>
    <row r="6" spans="1:25" ht="16.5" customHeight="1" thickBot="1" x14ac:dyDescent="0.3">
      <c r="A6" s="72" t="s">
        <v>69</v>
      </c>
      <c r="B6" s="77" t="s">
        <v>4</v>
      </c>
      <c r="C6" s="78">
        <f>C48</f>
        <v>200</v>
      </c>
      <c r="D6" s="242" t="s">
        <v>5</v>
      </c>
      <c r="E6" s="243"/>
      <c r="F6" s="77" t="s">
        <v>6</v>
      </c>
      <c r="G6" s="78">
        <f>D48</f>
        <v>250</v>
      </c>
      <c r="H6" s="242" t="s">
        <v>5</v>
      </c>
      <c r="I6" s="243"/>
      <c r="J6" s="133" t="s">
        <v>73</v>
      </c>
      <c r="K6" s="244" t="s">
        <v>75</v>
      </c>
      <c r="L6" s="161"/>
      <c r="M6" s="7"/>
      <c r="N6" s="32"/>
      <c r="O6" s="33"/>
      <c r="P6" s="7"/>
      <c r="Q6" s="7"/>
      <c r="R6" s="7"/>
      <c r="S6" s="7"/>
      <c r="T6" s="246" t="s">
        <v>76</v>
      </c>
      <c r="U6" s="247"/>
    </row>
    <row r="7" spans="1:25" ht="16.5" thickBot="1" x14ac:dyDescent="0.3">
      <c r="A7" s="111" t="s">
        <v>70</v>
      </c>
      <c r="B7" s="11" t="s">
        <v>71</v>
      </c>
      <c r="C7" s="248" t="s">
        <v>72</v>
      </c>
      <c r="D7" s="249"/>
      <c r="E7" s="250"/>
      <c r="F7" s="11" t="s">
        <v>71</v>
      </c>
      <c r="G7" s="248" t="s">
        <v>72</v>
      </c>
      <c r="H7" s="249"/>
      <c r="I7" s="250"/>
      <c r="J7" s="134" t="s">
        <v>74</v>
      </c>
      <c r="K7" s="245"/>
      <c r="L7" s="42"/>
      <c r="M7" s="7"/>
      <c r="N7" s="26"/>
      <c r="O7" s="33"/>
      <c r="P7" s="7"/>
      <c r="Q7" s="7"/>
      <c r="R7" s="7"/>
      <c r="S7" s="7"/>
      <c r="T7" s="22" t="s">
        <v>35</v>
      </c>
      <c r="U7" s="25" t="s">
        <v>39</v>
      </c>
    </row>
    <row r="8" spans="1:25" ht="16.5" thickBot="1" x14ac:dyDescent="0.3">
      <c r="A8" s="112" t="s">
        <v>3</v>
      </c>
      <c r="B8" s="13" t="s">
        <v>68</v>
      </c>
      <c r="C8" s="14" t="s">
        <v>13</v>
      </c>
      <c r="D8" s="14" t="s">
        <v>5</v>
      </c>
      <c r="E8" s="15" t="s">
        <v>8</v>
      </c>
      <c r="F8" s="13" t="s">
        <v>68</v>
      </c>
      <c r="G8" s="14" t="s">
        <v>13</v>
      </c>
      <c r="H8" s="14" t="s">
        <v>5</v>
      </c>
      <c r="I8" s="15" t="s">
        <v>8</v>
      </c>
      <c r="J8" s="118" t="s">
        <v>3</v>
      </c>
      <c r="K8" s="12" t="s">
        <v>3</v>
      </c>
      <c r="L8" s="43"/>
      <c r="M8" s="7"/>
      <c r="N8" s="37"/>
      <c r="O8" s="33"/>
      <c r="P8" s="34"/>
      <c r="Q8" s="7"/>
      <c r="R8" s="7"/>
      <c r="S8" s="7"/>
      <c r="T8" s="165" t="s">
        <v>3</v>
      </c>
      <c r="U8" s="166" t="s">
        <v>5</v>
      </c>
    </row>
    <row r="9" spans="1:25" ht="17.25" hidden="1" customHeight="1" thickTop="1" thickBot="1" x14ac:dyDescent="0.3">
      <c r="A9" s="113" t="s">
        <v>70</v>
      </c>
      <c r="B9" s="46" t="s">
        <v>9</v>
      </c>
      <c r="C9" s="109" t="s">
        <v>10</v>
      </c>
      <c r="D9" s="253" t="s">
        <v>41</v>
      </c>
      <c r="E9" s="254"/>
      <c r="F9" s="46" t="s">
        <v>9</v>
      </c>
      <c r="G9" s="109" t="s">
        <v>10</v>
      </c>
      <c r="H9" s="255" t="s">
        <v>41</v>
      </c>
      <c r="I9" s="254"/>
      <c r="J9" s="119" t="s">
        <v>11</v>
      </c>
      <c r="K9" s="50" t="s">
        <v>12</v>
      </c>
      <c r="L9" s="51"/>
      <c r="M9" s="7"/>
      <c r="N9" s="38"/>
      <c r="O9" s="33"/>
      <c r="P9" s="34"/>
      <c r="Q9" s="7"/>
      <c r="R9" s="7"/>
      <c r="S9" s="7"/>
      <c r="T9" s="160" t="s">
        <v>38</v>
      </c>
      <c r="U9" s="160" t="s">
        <v>39</v>
      </c>
    </row>
    <row r="10" spans="1:25" ht="17.25" hidden="1" customHeight="1" thickTop="1" thickBot="1" x14ac:dyDescent="0.3">
      <c r="A10" s="114" t="s">
        <v>3</v>
      </c>
      <c r="B10" s="52" t="s">
        <v>1</v>
      </c>
      <c r="C10" s="53" t="s">
        <v>13</v>
      </c>
      <c r="D10" s="54" t="s">
        <v>5</v>
      </c>
      <c r="E10" s="55" t="s">
        <v>8</v>
      </c>
      <c r="F10" s="52" t="s">
        <v>1</v>
      </c>
      <c r="G10" s="53" t="s">
        <v>13</v>
      </c>
      <c r="H10" s="54" t="s">
        <v>5</v>
      </c>
      <c r="I10" s="132" t="s">
        <v>8</v>
      </c>
      <c r="J10" s="120" t="s">
        <v>3</v>
      </c>
      <c r="K10" s="57" t="s">
        <v>3</v>
      </c>
      <c r="L10" s="56"/>
      <c r="M10" s="7"/>
      <c r="N10" s="38"/>
      <c r="O10" s="33"/>
      <c r="P10" s="34"/>
      <c r="Q10" s="7"/>
      <c r="R10" s="7"/>
      <c r="S10" s="7"/>
      <c r="T10" s="48" t="s">
        <v>3</v>
      </c>
      <c r="U10" s="49" t="s">
        <v>5</v>
      </c>
    </row>
    <row r="11" spans="1:25" ht="16.5" thickTop="1" x14ac:dyDescent="0.25">
      <c r="A11" s="211" t="str">
        <f>IF(0.2&lt;H$48,"NA",0.2)</f>
        <v>NA</v>
      </c>
      <c r="B11" s="212" t="e">
        <f>IF((ROUND((IF($C$6*1000/(3.14*$A11)&gt;$B$3,$B$3,$C$6*1000/(3.14*$A11)))/1000,1)*1000)&lt;$B$4,$B$4,(ROUND((IF($C$6*1000/(3.14*$A11)&gt;$B$3,$B$3,$C$6*1000/(3.14*$A11)))/1000,1)*1000))</f>
        <v>#VALUE!</v>
      </c>
      <c r="C11" s="213" t="e">
        <f>P11</f>
        <v>#VALUE!</v>
      </c>
      <c r="D11" s="167" t="e">
        <f>+B11*C11/1000</f>
        <v>#VALUE!</v>
      </c>
      <c r="E11" s="214" t="e">
        <f>+D11*1000/25.4</f>
        <v>#VALUE!</v>
      </c>
      <c r="F11" s="212" t="e">
        <f>ROUND(IF(IF(($G$6*1000/(3.14*$A11))&gt;$B$3,$B$3,($G$6*1000/(3.14*$A11)))&lt;$B$4,$B$4,IF(($G$6*1000/(3.14*$A11))&gt;$B$3,$B$3,($G$6*1000/(3.14*$A11))))/1000,1)*1000</f>
        <v>#VALUE!</v>
      </c>
      <c r="G11" s="213" t="e">
        <f>P11*$H$1</f>
        <v>#VALUE!</v>
      </c>
      <c r="H11" s="167" t="e">
        <f>+F11*G11/1000</f>
        <v>#VALUE!</v>
      </c>
      <c r="I11" s="214" t="e">
        <f>+H11*1000/25.4</f>
        <v>#VALUE!</v>
      </c>
      <c r="J11" s="215" t="e">
        <f t="shared" ref="J11:J39" si="0">IF(A11*$G$48&gt;$F$48,$F$48,A11*$G$48)</f>
        <v>#VALUE!</v>
      </c>
      <c r="K11" s="216" t="e">
        <f t="shared" ref="K11:K39" si="1">IF((A11/2*1.08)&gt;1,1,(A11/2*1.08))</f>
        <v>#VALUE!</v>
      </c>
      <c r="L11" s="176"/>
      <c r="M11" s="208"/>
      <c r="N11" s="209"/>
      <c r="O11" s="210">
        <v>1E-3</v>
      </c>
      <c r="P11" s="210" t="e">
        <f t="shared" ref="P11:P39" si="2">IF(A11*(($F$3/100)+O11)&lt;0.001,0.001,(A11*(($F$3/100)+O11)))</f>
        <v>#VALUE!</v>
      </c>
      <c r="Q11" s="208"/>
      <c r="R11" s="208"/>
      <c r="S11" s="208"/>
      <c r="T11" s="217" t="e">
        <f>A11-0.1</f>
        <v>#VALUE!</v>
      </c>
      <c r="U11" s="218" t="e">
        <f>A11*0.03*B11/1000</f>
        <v>#VALUE!</v>
      </c>
    </row>
    <row r="12" spans="1:25" ht="16.5" thickBot="1" x14ac:dyDescent="0.3">
      <c r="A12" s="179" t="str">
        <f>IF(0.3&lt;H$48,"NA",0.3)</f>
        <v>NA</v>
      </c>
      <c r="B12" s="180" t="e">
        <f t="shared" ref="B12:B39" si="3">IF((ROUND((IF($C$6*1000/(3.14*$A12)&gt;$B$3,$B$3,$C$6*1000/(3.14*$A12)))/1000,1)*1000)&lt;$B$4,$B$4,(ROUND((IF($C$6*1000/(3.14*$A12)&gt;$B$3,$B$3,$C$6*1000/(3.14*$A12)))/1000,1)*1000))</f>
        <v>#VALUE!</v>
      </c>
      <c r="C12" s="181" t="e">
        <f t="shared" ref="C12:C39" si="4">P12</f>
        <v>#VALUE!</v>
      </c>
      <c r="D12" s="182" t="e">
        <f t="shared" ref="D12:D39" si="5">+B12*C12/1000</f>
        <v>#VALUE!</v>
      </c>
      <c r="E12" s="183" t="e">
        <f t="shared" ref="E12:E39" si="6">+D12*1000/25.4</f>
        <v>#VALUE!</v>
      </c>
      <c r="F12" s="180" t="e">
        <f t="shared" ref="F12:F39" si="7">ROUND(IF(IF(($G$6*1000/(3.14*$A12))&gt;$B$3,$B$3,($G$6*1000/(3.14*$A12)))&lt;$B$4,$B$4,IF(($G$6*1000/(3.14*$A12))&gt;$B$3,$B$3,($G$6*1000/(3.14*$A12))))/1000,1)*1000</f>
        <v>#VALUE!</v>
      </c>
      <c r="G12" s="181" t="e">
        <f t="shared" ref="G12:G39" si="8">P12*$H$1</f>
        <v>#VALUE!</v>
      </c>
      <c r="H12" s="182" t="e">
        <f t="shared" ref="H12:H39" si="9">+F12*G12/1000</f>
        <v>#VALUE!</v>
      </c>
      <c r="I12" s="183" t="e">
        <f t="shared" ref="I12:I39" si="10">+H12*1000/25.4</f>
        <v>#VALUE!</v>
      </c>
      <c r="J12" s="184" t="e">
        <f t="shared" si="0"/>
        <v>#VALUE!</v>
      </c>
      <c r="K12" s="185" t="e">
        <f t="shared" si="1"/>
        <v>#VALUE!</v>
      </c>
      <c r="L12" s="176"/>
      <c r="M12" s="91"/>
      <c r="N12" s="196"/>
      <c r="O12" s="99">
        <f>O11+0.0002</f>
        <v>1.2000000000000001E-3</v>
      </c>
      <c r="P12" s="99" t="e">
        <f t="shared" si="2"/>
        <v>#VALUE!</v>
      </c>
      <c r="Q12" s="91"/>
      <c r="R12" s="91"/>
      <c r="S12" s="91"/>
      <c r="T12" s="187" t="e">
        <f t="shared" ref="T12:T15" si="11">A12-0.1</f>
        <v>#VALUE!</v>
      </c>
      <c r="U12" s="188" t="e">
        <f t="shared" ref="U12:U16" si="12">A12*0.03*B12/1000</f>
        <v>#VALUE!</v>
      </c>
      <c r="X12" s="106" t="s">
        <v>2</v>
      </c>
      <c r="Y12" t="s">
        <v>46</v>
      </c>
    </row>
    <row r="13" spans="1:25" x14ac:dyDescent="0.25">
      <c r="A13" s="219" t="str">
        <f>IF(0.4&lt;H$48,"NA",0.4)</f>
        <v>NA</v>
      </c>
      <c r="B13" s="220" t="e">
        <f t="shared" si="3"/>
        <v>#VALUE!</v>
      </c>
      <c r="C13" s="221" t="e">
        <f t="shared" si="4"/>
        <v>#VALUE!</v>
      </c>
      <c r="D13" s="222" t="e">
        <f t="shared" si="5"/>
        <v>#VALUE!</v>
      </c>
      <c r="E13" s="223" t="e">
        <f t="shared" si="6"/>
        <v>#VALUE!</v>
      </c>
      <c r="F13" s="220" t="e">
        <f t="shared" si="7"/>
        <v>#VALUE!</v>
      </c>
      <c r="G13" s="221" t="e">
        <f t="shared" si="8"/>
        <v>#VALUE!</v>
      </c>
      <c r="H13" s="222" t="e">
        <f t="shared" si="9"/>
        <v>#VALUE!</v>
      </c>
      <c r="I13" s="223" t="e">
        <f t="shared" si="10"/>
        <v>#VALUE!</v>
      </c>
      <c r="J13" s="224" t="e">
        <f t="shared" si="0"/>
        <v>#VALUE!</v>
      </c>
      <c r="K13" s="225" t="e">
        <f t="shared" si="1"/>
        <v>#VALUE!</v>
      </c>
      <c r="L13" s="176"/>
      <c r="M13" s="208"/>
      <c r="N13" s="209"/>
      <c r="O13" s="210">
        <f t="shared" ref="O13:O23" si="13">O12+0.0002</f>
        <v>1.4000000000000002E-3</v>
      </c>
      <c r="P13" s="210" t="e">
        <f t="shared" si="2"/>
        <v>#VALUE!</v>
      </c>
      <c r="Q13" s="208"/>
      <c r="R13" s="208"/>
      <c r="S13" s="208"/>
      <c r="T13" s="217" t="e">
        <f t="shared" si="11"/>
        <v>#VALUE!</v>
      </c>
      <c r="U13" s="218" t="e">
        <f t="shared" si="12"/>
        <v>#VALUE!</v>
      </c>
      <c r="X13" s="200" t="s">
        <v>40</v>
      </c>
      <c r="Y13" s="201">
        <v>1</v>
      </c>
    </row>
    <row r="14" spans="1:25" x14ac:dyDescent="0.25">
      <c r="A14" s="179" t="str">
        <f>IF(0.5&lt;H$48,"NA",0.5)</f>
        <v>NA</v>
      </c>
      <c r="B14" s="180" t="e">
        <f t="shared" si="3"/>
        <v>#VALUE!</v>
      </c>
      <c r="C14" s="181" t="e">
        <f t="shared" si="4"/>
        <v>#VALUE!</v>
      </c>
      <c r="D14" s="182" t="e">
        <f t="shared" si="5"/>
        <v>#VALUE!</v>
      </c>
      <c r="E14" s="183" t="e">
        <f t="shared" si="6"/>
        <v>#VALUE!</v>
      </c>
      <c r="F14" s="180" t="e">
        <f t="shared" si="7"/>
        <v>#VALUE!</v>
      </c>
      <c r="G14" s="181" t="e">
        <f t="shared" si="8"/>
        <v>#VALUE!</v>
      </c>
      <c r="H14" s="182" t="e">
        <f t="shared" si="9"/>
        <v>#VALUE!</v>
      </c>
      <c r="I14" s="183" t="e">
        <f t="shared" si="10"/>
        <v>#VALUE!</v>
      </c>
      <c r="J14" s="184" t="e">
        <f t="shared" si="0"/>
        <v>#VALUE!</v>
      </c>
      <c r="K14" s="185" t="e">
        <f t="shared" si="1"/>
        <v>#VALUE!</v>
      </c>
      <c r="L14" s="176"/>
      <c r="M14" s="91"/>
      <c r="N14" s="196"/>
      <c r="O14" s="99">
        <f t="shared" si="13"/>
        <v>1.6000000000000003E-3</v>
      </c>
      <c r="P14" s="99" t="e">
        <f t="shared" si="2"/>
        <v>#VALUE!</v>
      </c>
      <c r="Q14" s="91"/>
      <c r="R14" s="91"/>
      <c r="S14" s="91"/>
      <c r="T14" s="187" t="e">
        <f t="shared" si="11"/>
        <v>#VALUE!</v>
      </c>
      <c r="U14" s="188" t="e">
        <f t="shared" si="12"/>
        <v>#VALUE!</v>
      </c>
      <c r="X14" s="202" t="s">
        <v>36</v>
      </c>
      <c r="Y14" s="203">
        <v>2</v>
      </c>
    </row>
    <row r="15" spans="1:25" x14ac:dyDescent="0.25">
      <c r="A15" s="219" t="str">
        <f>IF(0.6&lt;H$48,"NA",0.6)</f>
        <v>NA</v>
      </c>
      <c r="B15" s="220" t="e">
        <f t="shared" si="3"/>
        <v>#VALUE!</v>
      </c>
      <c r="C15" s="221" t="e">
        <f t="shared" si="4"/>
        <v>#VALUE!</v>
      </c>
      <c r="D15" s="222" t="e">
        <f t="shared" si="5"/>
        <v>#VALUE!</v>
      </c>
      <c r="E15" s="223" t="e">
        <f t="shared" si="6"/>
        <v>#VALUE!</v>
      </c>
      <c r="F15" s="220" t="e">
        <f t="shared" si="7"/>
        <v>#VALUE!</v>
      </c>
      <c r="G15" s="221" t="e">
        <f t="shared" si="8"/>
        <v>#VALUE!</v>
      </c>
      <c r="H15" s="222" t="e">
        <f t="shared" si="9"/>
        <v>#VALUE!</v>
      </c>
      <c r="I15" s="223" t="e">
        <f t="shared" si="10"/>
        <v>#VALUE!</v>
      </c>
      <c r="J15" s="224" t="e">
        <f t="shared" si="0"/>
        <v>#VALUE!</v>
      </c>
      <c r="K15" s="225" t="e">
        <f t="shared" si="1"/>
        <v>#VALUE!</v>
      </c>
      <c r="L15" s="176"/>
      <c r="M15" s="208"/>
      <c r="N15" s="209"/>
      <c r="O15" s="210">
        <f t="shared" si="13"/>
        <v>1.8000000000000004E-3</v>
      </c>
      <c r="P15" s="210" t="e">
        <f t="shared" si="2"/>
        <v>#VALUE!</v>
      </c>
      <c r="Q15" s="208"/>
      <c r="R15" s="208"/>
      <c r="S15" s="208"/>
      <c r="T15" s="217" t="e">
        <f t="shared" si="11"/>
        <v>#VALUE!</v>
      </c>
      <c r="U15" s="218" t="e">
        <f t="shared" si="12"/>
        <v>#VALUE!</v>
      </c>
      <c r="X15" s="202" t="s">
        <v>37</v>
      </c>
      <c r="Y15" s="203">
        <v>3</v>
      </c>
    </row>
    <row r="16" spans="1:25" x14ac:dyDescent="0.25">
      <c r="A16" s="179" t="str">
        <f>IF(0.7&lt;H$48,"NA",0.7)</f>
        <v>NA</v>
      </c>
      <c r="B16" s="180" t="e">
        <f t="shared" si="3"/>
        <v>#VALUE!</v>
      </c>
      <c r="C16" s="181" t="e">
        <f t="shared" si="4"/>
        <v>#VALUE!</v>
      </c>
      <c r="D16" s="182" t="e">
        <f t="shared" si="5"/>
        <v>#VALUE!</v>
      </c>
      <c r="E16" s="183" t="e">
        <f t="shared" si="6"/>
        <v>#VALUE!</v>
      </c>
      <c r="F16" s="180" t="e">
        <f t="shared" si="7"/>
        <v>#VALUE!</v>
      </c>
      <c r="G16" s="181" t="e">
        <f t="shared" si="8"/>
        <v>#VALUE!</v>
      </c>
      <c r="H16" s="182" t="e">
        <f t="shared" si="9"/>
        <v>#VALUE!</v>
      </c>
      <c r="I16" s="183" t="e">
        <f t="shared" si="10"/>
        <v>#VALUE!</v>
      </c>
      <c r="J16" s="184" t="e">
        <f t="shared" si="0"/>
        <v>#VALUE!</v>
      </c>
      <c r="K16" s="185" t="e">
        <f t="shared" si="1"/>
        <v>#VALUE!</v>
      </c>
      <c r="L16" s="176"/>
      <c r="M16" s="91"/>
      <c r="N16" s="196"/>
      <c r="O16" s="99">
        <f t="shared" si="13"/>
        <v>2.0000000000000005E-3</v>
      </c>
      <c r="P16" s="99" t="e">
        <f t="shared" si="2"/>
        <v>#VALUE!</v>
      </c>
      <c r="Q16" s="91"/>
      <c r="R16" s="91"/>
      <c r="S16" s="91"/>
      <c r="T16" s="187" t="e">
        <f>A16-0.2</f>
        <v>#VALUE!</v>
      </c>
      <c r="U16" s="188" t="e">
        <f t="shared" si="12"/>
        <v>#VALUE!</v>
      </c>
      <c r="X16" s="202" t="s">
        <v>21</v>
      </c>
      <c r="Y16" s="203">
        <v>4</v>
      </c>
    </row>
    <row r="17" spans="1:25" x14ac:dyDescent="0.25">
      <c r="A17" s="137">
        <f>IF(0.8&lt;H$48,"NA",0.8)</f>
        <v>0.8</v>
      </c>
      <c r="B17" s="128">
        <f t="shared" si="3"/>
        <v>60000</v>
      </c>
      <c r="C17" s="61">
        <f t="shared" si="4"/>
        <v>5.7600000000000012E-3</v>
      </c>
      <c r="D17" s="62">
        <f t="shared" si="5"/>
        <v>0.34560000000000007</v>
      </c>
      <c r="E17" s="16">
        <f t="shared" si="6"/>
        <v>13.606299212598429</v>
      </c>
      <c r="F17" s="128">
        <f t="shared" si="7"/>
        <v>60000</v>
      </c>
      <c r="G17" s="61">
        <f t="shared" si="8"/>
        <v>6.3360000000000022E-3</v>
      </c>
      <c r="H17" s="62">
        <f t="shared" si="9"/>
        <v>0.38016000000000016</v>
      </c>
      <c r="I17" s="16">
        <f t="shared" si="10"/>
        <v>14.966929133858274</v>
      </c>
      <c r="J17" s="123">
        <f t="shared" si="0"/>
        <v>0.8</v>
      </c>
      <c r="K17" s="104">
        <f t="shared" si="1"/>
        <v>0.43200000000000005</v>
      </c>
      <c r="L17" s="44"/>
      <c r="M17" s="7"/>
      <c r="N17" s="36"/>
      <c r="O17" s="99">
        <f t="shared" si="13"/>
        <v>2.2000000000000006E-3</v>
      </c>
      <c r="P17" s="99">
        <f t="shared" si="2"/>
        <v>5.7600000000000012E-3</v>
      </c>
      <c r="Q17" s="7"/>
      <c r="R17" s="7"/>
      <c r="S17" s="7"/>
      <c r="T17" s="47">
        <f t="shared" ref="T17:T39" si="14">A17-0.2</f>
        <v>0.60000000000000009</v>
      </c>
      <c r="U17" s="162">
        <f>A17*0.02*B17/1000</f>
        <v>0.96</v>
      </c>
      <c r="X17" s="202" t="s">
        <v>22</v>
      </c>
      <c r="Y17" s="203">
        <v>5</v>
      </c>
    </row>
    <row r="18" spans="1:25" x14ac:dyDescent="0.25">
      <c r="A18" s="138">
        <f>IF(0.9&lt;H$48,"NA",0.9)</f>
        <v>0.9</v>
      </c>
      <c r="B18" s="126">
        <f t="shared" si="3"/>
        <v>60000</v>
      </c>
      <c r="C18" s="101">
        <f t="shared" si="4"/>
        <v>6.6600000000000001E-3</v>
      </c>
      <c r="D18" s="102">
        <f t="shared" si="5"/>
        <v>0.39960000000000001</v>
      </c>
      <c r="E18" s="127">
        <f t="shared" si="6"/>
        <v>15.732283464566931</v>
      </c>
      <c r="F18" s="126">
        <f t="shared" si="7"/>
        <v>60000</v>
      </c>
      <c r="G18" s="101">
        <f t="shared" si="8"/>
        <v>7.3260000000000009E-3</v>
      </c>
      <c r="H18" s="102">
        <f t="shared" si="9"/>
        <v>0.43956000000000006</v>
      </c>
      <c r="I18" s="127">
        <f t="shared" si="10"/>
        <v>17.305511811023624</v>
      </c>
      <c r="J18" s="122">
        <f t="shared" si="0"/>
        <v>0.9</v>
      </c>
      <c r="K18" s="103">
        <f t="shared" si="1"/>
        <v>0.48600000000000004</v>
      </c>
      <c r="L18" s="44"/>
      <c r="M18" s="7"/>
      <c r="N18" s="36"/>
      <c r="O18" s="99">
        <f t="shared" si="13"/>
        <v>2.4000000000000007E-3</v>
      </c>
      <c r="P18" s="99">
        <f t="shared" si="2"/>
        <v>6.6600000000000001E-3</v>
      </c>
      <c r="Q18" s="7"/>
      <c r="R18" s="7"/>
      <c r="S18" s="7"/>
      <c r="T18" s="159">
        <f t="shared" si="14"/>
        <v>0.7</v>
      </c>
      <c r="U18" s="164">
        <f t="shared" ref="U18:U39" si="15">A18*0.02*B18/1000</f>
        <v>1.0800000000000003</v>
      </c>
      <c r="X18" s="202" t="s">
        <v>23</v>
      </c>
      <c r="Y18" s="203">
        <v>6</v>
      </c>
    </row>
    <row r="19" spans="1:25" x14ac:dyDescent="0.25">
      <c r="A19" s="137">
        <f>IF(1&lt;H$48,"NA",1)</f>
        <v>1</v>
      </c>
      <c r="B19" s="128">
        <f t="shared" si="3"/>
        <v>60000</v>
      </c>
      <c r="C19" s="61">
        <f t="shared" si="4"/>
        <v>7.6000000000000009E-3</v>
      </c>
      <c r="D19" s="62">
        <f t="shared" si="5"/>
        <v>0.45600000000000007</v>
      </c>
      <c r="E19" s="16">
        <f t="shared" si="6"/>
        <v>17.952755905511815</v>
      </c>
      <c r="F19" s="128">
        <f t="shared" si="7"/>
        <v>60000</v>
      </c>
      <c r="G19" s="61">
        <f t="shared" si="8"/>
        <v>8.3600000000000011E-3</v>
      </c>
      <c r="H19" s="62">
        <f t="shared" si="9"/>
        <v>0.50160000000000005</v>
      </c>
      <c r="I19" s="16">
        <f t="shared" si="10"/>
        <v>19.748031496062993</v>
      </c>
      <c r="J19" s="123">
        <f t="shared" si="0"/>
        <v>1</v>
      </c>
      <c r="K19" s="104">
        <f t="shared" si="1"/>
        <v>0.54</v>
      </c>
      <c r="L19" s="44"/>
      <c r="M19" s="7"/>
      <c r="N19" s="36"/>
      <c r="O19" s="99">
        <f t="shared" si="13"/>
        <v>2.6000000000000007E-3</v>
      </c>
      <c r="P19" s="99">
        <f t="shared" si="2"/>
        <v>7.6000000000000009E-3</v>
      </c>
      <c r="Q19" s="7"/>
      <c r="R19" s="7"/>
      <c r="S19" s="7"/>
      <c r="T19" s="47">
        <f t="shared" si="14"/>
        <v>0.8</v>
      </c>
      <c r="U19" s="162">
        <f t="shared" si="15"/>
        <v>1.2</v>
      </c>
      <c r="X19" s="204"/>
      <c r="Y19" s="203">
        <v>7</v>
      </c>
    </row>
    <row r="20" spans="1:25" x14ac:dyDescent="0.25">
      <c r="A20" s="138">
        <f>IF(1.1&lt;H$48,"NA",1.1)</f>
        <v>1.1000000000000001</v>
      </c>
      <c r="B20" s="126">
        <f t="shared" si="3"/>
        <v>57900</v>
      </c>
      <c r="C20" s="101">
        <f t="shared" si="4"/>
        <v>8.5800000000000026E-3</v>
      </c>
      <c r="D20" s="102">
        <f t="shared" si="5"/>
        <v>0.49678200000000017</v>
      </c>
      <c r="E20" s="127">
        <f t="shared" si="6"/>
        <v>19.55834645669292</v>
      </c>
      <c r="F20" s="126">
        <f t="shared" si="7"/>
        <v>60000</v>
      </c>
      <c r="G20" s="101">
        <f t="shared" si="8"/>
        <v>9.4380000000000037E-3</v>
      </c>
      <c r="H20" s="102">
        <f t="shared" si="9"/>
        <v>0.56628000000000023</v>
      </c>
      <c r="I20" s="127">
        <f t="shared" si="10"/>
        <v>22.294488188976388</v>
      </c>
      <c r="J20" s="122">
        <f t="shared" si="0"/>
        <v>1.1000000000000001</v>
      </c>
      <c r="K20" s="103">
        <f t="shared" si="1"/>
        <v>0.59400000000000008</v>
      </c>
      <c r="L20" s="96"/>
      <c r="M20" s="7"/>
      <c r="N20" s="36"/>
      <c r="O20" s="99">
        <f t="shared" si="13"/>
        <v>2.8000000000000008E-3</v>
      </c>
      <c r="P20" s="99">
        <f t="shared" si="2"/>
        <v>8.5800000000000026E-3</v>
      </c>
      <c r="Q20" s="7"/>
      <c r="R20" s="8"/>
      <c r="S20" s="7"/>
      <c r="T20" s="159">
        <f t="shared" si="14"/>
        <v>0.90000000000000013</v>
      </c>
      <c r="U20" s="164">
        <f t="shared" si="15"/>
        <v>1.2738000000000003</v>
      </c>
      <c r="X20" s="204"/>
      <c r="Y20" s="203">
        <v>8</v>
      </c>
    </row>
    <row r="21" spans="1:25" x14ac:dyDescent="0.25">
      <c r="A21" s="140">
        <f>IF(1.2&lt;H$48,"NA",1.2)</f>
        <v>1.2</v>
      </c>
      <c r="B21" s="128">
        <f t="shared" si="3"/>
        <v>53100</v>
      </c>
      <c r="C21" s="61">
        <f t="shared" si="4"/>
        <v>9.5999999999999992E-3</v>
      </c>
      <c r="D21" s="62">
        <f t="shared" si="5"/>
        <v>0.50975999999999988</v>
      </c>
      <c r="E21" s="16">
        <f t="shared" si="6"/>
        <v>20.069291338582673</v>
      </c>
      <c r="F21" s="128">
        <f t="shared" si="7"/>
        <v>60000</v>
      </c>
      <c r="G21" s="61">
        <f t="shared" si="8"/>
        <v>1.056E-2</v>
      </c>
      <c r="H21" s="62">
        <f t="shared" si="9"/>
        <v>0.63360000000000005</v>
      </c>
      <c r="I21" s="16">
        <f t="shared" si="10"/>
        <v>24.944881889763781</v>
      </c>
      <c r="J21" s="123">
        <f t="shared" si="0"/>
        <v>1.2</v>
      </c>
      <c r="K21" s="104">
        <f t="shared" si="1"/>
        <v>0.64800000000000002</v>
      </c>
      <c r="L21" s="44"/>
      <c r="M21" s="7"/>
      <c r="N21" s="36"/>
      <c r="O21" s="99">
        <f t="shared" si="13"/>
        <v>3.0000000000000009E-3</v>
      </c>
      <c r="P21" s="99">
        <f t="shared" si="2"/>
        <v>9.5999999999999992E-3</v>
      </c>
      <c r="Q21" s="7"/>
      <c r="R21" s="8"/>
      <c r="S21" s="7"/>
      <c r="T21" s="47">
        <f t="shared" si="14"/>
        <v>1</v>
      </c>
      <c r="U21" s="162">
        <f t="shared" si="15"/>
        <v>1.2744000000000002</v>
      </c>
      <c r="X21" s="205"/>
      <c r="Y21" s="203">
        <v>9</v>
      </c>
    </row>
    <row r="22" spans="1:25" x14ac:dyDescent="0.25">
      <c r="A22" s="138">
        <f>IF(1.3&lt;H$48,"NA",1.3)</f>
        <v>1.3</v>
      </c>
      <c r="B22" s="126">
        <f t="shared" si="3"/>
        <v>49000</v>
      </c>
      <c r="C22" s="101">
        <f t="shared" si="4"/>
        <v>1.0660000000000001E-2</v>
      </c>
      <c r="D22" s="102">
        <f t="shared" si="5"/>
        <v>0.52234000000000003</v>
      </c>
      <c r="E22" s="127">
        <f t="shared" si="6"/>
        <v>20.564566929133861</v>
      </c>
      <c r="F22" s="126">
        <f t="shared" si="7"/>
        <v>60000</v>
      </c>
      <c r="G22" s="101">
        <f t="shared" si="8"/>
        <v>1.1726000000000002E-2</v>
      </c>
      <c r="H22" s="102">
        <f t="shared" si="9"/>
        <v>0.70356000000000019</v>
      </c>
      <c r="I22" s="127">
        <f t="shared" si="10"/>
        <v>27.699212598425206</v>
      </c>
      <c r="J22" s="122">
        <f t="shared" si="0"/>
        <v>1.3</v>
      </c>
      <c r="K22" s="103">
        <f t="shared" si="1"/>
        <v>0.70200000000000007</v>
      </c>
      <c r="L22" s="96"/>
      <c r="M22" s="7"/>
      <c r="N22" s="36"/>
      <c r="O22" s="99">
        <f t="shared" si="13"/>
        <v>3.200000000000001E-3</v>
      </c>
      <c r="P22" s="99">
        <f t="shared" si="2"/>
        <v>1.0660000000000001E-2</v>
      </c>
      <c r="Q22" s="7"/>
      <c r="R22" s="7"/>
      <c r="S22" s="7"/>
      <c r="T22" s="159">
        <f t="shared" si="14"/>
        <v>1.1000000000000001</v>
      </c>
      <c r="U22" s="164">
        <f t="shared" si="15"/>
        <v>1.274</v>
      </c>
      <c r="X22" s="205"/>
      <c r="Y22" s="203">
        <v>10</v>
      </c>
    </row>
    <row r="23" spans="1:25" x14ac:dyDescent="0.25">
      <c r="A23" s="140">
        <f>IF(1.4&lt;H$48,"NA",1.4)</f>
        <v>1.4</v>
      </c>
      <c r="B23" s="128">
        <f t="shared" si="3"/>
        <v>45500</v>
      </c>
      <c r="C23" s="61">
        <f t="shared" si="4"/>
        <v>1.1760000000000001E-2</v>
      </c>
      <c r="D23" s="62">
        <f t="shared" si="5"/>
        <v>0.53508</v>
      </c>
      <c r="E23" s="16">
        <f t="shared" si="6"/>
        <v>21.066141732283466</v>
      </c>
      <c r="F23" s="128">
        <f t="shared" si="7"/>
        <v>56900</v>
      </c>
      <c r="G23" s="61">
        <f t="shared" si="8"/>
        <v>1.2936000000000003E-2</v>
      </c>
      <c r="H23" s="62">
        <f t="shared" si="9"/>
        <v>0.73605840000000011</v>
      </c>
      <c r="I23" s="16">
        <f t="shared" si="10"/>
        <v>28.978677165354338</v>
      </c>
      <c r="J23" s="123">
        <f t="shared" si="0"/>
        <v>1.4</v>
      </c>
      <c r="K23" s="104">
        <f t="shared" si="1"/>
        <v>0.75600000000000001</v>
      </c>
      <c r="L23" s="44"/>
      <c r="M23" s="7"/>
      <c r="N23" s="36"/>
      <c r="O23" s="99">
        <f t="shared" si="13"/>
        <v>3.4000000000000011E-3</v>
      </c>
      <c r="P23" s="99">
        <f t="shared" si="2"/>
        <v>1.1760000000000001E-2</v>
      </c>
      <c r="Q23" s="7"/>
      <c r="R23" s="7"/>
      <c r="S23" s="7"/>
      <c r="T23" s="47">
        <f t="shared" si="14"/>
        <v>1.2</v>
      </c>
      <c r="U23" s="162">
        <f t="shared" si="15"/>
        <v>1.2739999999999998</v>
      </c>
      <c r="X23" s="205"/>
      <c r="Y23" s="203">
        <v>11</v>
      </c>
    </row>
    <row r="24" spans="1:25" x14ac:dyDescent="0.25">
      <c r="A24" s="138">
        <f>IF(1.5&lt;H$48,"NA",1.5)</f>
        <v>1.5</v>
      </c>
      <c r="B24" s="126">
        <f t="shared" si="3"/>
        <v>42500</v>
      </c>
      <c r="C24" s="101">
        <f t="shared" si="4"/>
        <v>1.3125000000000001E-2</v>
      </c>
      <c r="D24" s="102">
        <f t="shared" si="5"/>
        <v>0.55781250000000004</v>
      </c>
      <c r="E24" s="127">
        <f t="shared" si="6"/>
        <v>21.961122047244096</v>
      </c>
      <c r="F24" s="126">
        <f t="shared" si="7"/>
        <v>53100</v>
      </c>
      <c r="G24" s="101">
        <f t="shared" si="8"/>
        <v>1.4437500000000002E-2</v>
      </c>
      <c r="H24" s="102">
        <f t="shared" si="9"/>
        <v>0.7666312500000001</v>
      </c>
      <c r="I24" s="127">
        <f t="shared" si="10"/>
        <v>30.182332677165363</v>
      </c>
      <c r="J24" s="122">
        <f t="shared" si="0"/>
        <v>1.5</v>
      </c>
      <c r="K24" s="103">
        <f t="shared" si="1"/>
        <v>0.81</v>
      </c>
      <c r="L24" s="96"/>
      <c r="M24" s="7"/>
      <c r="N24" s="36"/>
      <c r="O24" s="99">
        <f>O23+0.00035</f>
        <v>3.7500000000000012E-3</v>
      </c>
      <c r="P24" s="99">
        <f t="shared" si="2"/>
        <v>1.3125000000000001E-2</v>
      </c>
      <c r="Q24" s="7"/>
      <c r="R24" s="7"/>
      <c r="S24" s="7"/>
      <c r="T24" s="159">
        <f t="shared" si="14"/>
        <v>1.3</v>
      </c>
      <c r="U24" s="164">
        <f t="shared" si="15"/>
        <v>1.2749999999999999</v>
      </c>
      <c r="X24" s="205"/>
      <c r="Y24" s="203">
        <v>12</v>
      </c>
    </row>
    <row r="25" spans="1:25" ht="16.5" thickBot="1" x14ac:dyDescent="0.3">
      <c r="A25" s="116">
        <v>1.6</v>
      </c>
      <c r="B25" s="128">
        <f t="shared" si="3"/>
        <v>39800</v>
      </c>
      <c r="C25" s="61">
        <f t="shared" si="4"/>
        <v>1.4560000000000002E-2</v>
      </c>
      <c r="D25" s="62">
        <f t="shared" si="5"/>
        <v>0.579488</v>
      </c>
      <c r="E25" s="16">
        <f t="shared" si="6"/>
        <v>22.81448818897638</v>
      </c>
      <c r="F25" s="128">
        <f t="shared" si="7"/>
        <v>49800</v>
      </c>
      <c r="G25" s="61">
        <f t="shared" si="8"/>
        <v>1.6016000000000002E-2</v>
      </c>
      <c r="H25" s="62">
        <f t="shared" si="9"/>
        <v>0.79759680000000011</v>
      </c>
      <c r="I25" s="16">
        <f t="shared" si="10"/>
        <v>31.401448818897645</v>
      </c>
      <c r="J25" s="123">
        <f t="shared" si="0"/>
        <v>1.5</v>
      </c>
      <c r="K25" s="104">
        <f t="shared" si="1"/>
        <v>0.8640000000000001</v>
      </c>
      <c r="L25" s="44"/>
      <c r="M25" s="7"/>
      <c r="N25" s="36"/>
      <c r="O25" s="99">
        <f t="shared" ref="O25:O39" si="16">O24+0.00035</f>
        <v>4.1000000000000012E-3</v>
      </c>
      <c r="P25" s="99">
        <f t="shared" si="2"/>
        <v>1.4560000000000002E-2</v>
      </c>
      <c r="Q25" s="7"/>
      <c r="R25" s="7"/>
      <c r="S25" s="7"/>
      <c r="T25" s="47">
        <f t="shared" si="14"/>
        <v>1.4000000000000001</v>
      </c>
      <c r="U25" s="162">
        <f t="shared" si="15"/>
        <v>1.2736000000000001</v>
      </c>
      <c r="X25" s="206"/>
      <c r="Y25" s="207">
        <v>13</v>
      </c>
    </row>
    <row r="26" spans="1:25" x14ac:dyDescent="0.25">
      <c r="A26" s="115">
        <v>1.7</v>
      </c>
      <c r="B26" s="126">
        <f t="shared" si="3"/>
        <v>37500</v>
      </c>
      <c r="C26" s="101">
        <f t="shared" si="4"/>
        <v>1.6064999999999999E-2</v>
      </c>
      <c r="D26" s="102">
        <f t="shared" si="5"/>
        <v>0.60243749999999996</v>
      </c>
      <c r="E26" s="127">
        <f t="shared" si="6"/>
        <v>23.718011811023622</v>
      </c>
      <c r="F26" s="126">
        <f t="shared" si="7"/>
        <v>46800</v>
      </c>
      <c r="G26" s="101">
        <f t="shared" si="8"/>
        <v>1.76715E-2</v>
      </c>
      <c r="H26" s="102">
        <f t="shared" si="9"/>
        <v>0.82702620000000004</v>
      </c>
      <c r="I26" s="127">
        <f t="shared" si="10"/>
        <v>32.56008661417323</v>
      </c>
      <c r="J26" s="122">
        <f t="shared" si="0"/>
        <v>1.5</v>
      </c>
      <c r="K26" s="103">
        <f t="shared" si="1"/>
        <v>0.91800000000000004</v>
      </c>
      <c r="L26" s="96"/>
      <c r="M26" s="7"/>
      <c r="N26" s="36"/>
      <c r="O26" s="99">
        <f t="shared" si="16"/>
        <v>4.4500000000000008E-3</v>
      </c>
      <c r="P26" s="99">
        <f t="shared" si="2"/>
        <v>1.6064999999999999E-2</v>
      </c>
      <c r="Q26" s="7"/>
      <c r="R26" s="7"/>
      <c r="S26" s="7"/>
      <c r="T26" s="159">
        <f t="shared" si="14"/>
        <v>1.5</v>
      </c>
      <c r="U26" s="164">
        <f t="shared" si="15"/>
        <v>1.2749999999999999</v>
      </c>
      <c r="X26"/>
    </row>
    <row r="27" spans="1:25" x14ac:dyDescent="0.25">
      <c r="A27" s="116">
        <v>1.8</v>
      </c>
      <c r="B27" s="128">
        <f t="shared" si="3"/>
        <v>35400</v>
      </c>
      <c r="C27" s="61">
        <f t="shared" si="4"/>
        <v>1.7639999999999999E-2</v>
      </c>
      <c r="D27" s="62">
        <f t="shared" si="5"/>
        <v>0.62445600000000001</v>
      </c>
      <c r="E27" s="16">
        <f t="shared" si="6"/>
        <v>24.584881889763782</v>
      </c>
      <c r="F27" s="128">
        <f t="shared" si="7"/>
        <v>44200</v>
      </c>
      <c r="G27" s="61">
        <f t="shared" si="8"/>
        <v>1.9404000000000001E-2</v>
      </c>
      <c r="H27" s="62">
        <f t="shared" si="9"/>
        <v>0.85765680000000011</v>
      </c>
      <c r="I27" s="16">
        <f t="shared" si="10"/>
        <v>33.766015748031499</v>
      </c>
      <c r="J27" s="123">
        <f t="shared" si="0"/>
        <v>1.5</v>
      </c>
      <c r="K27" s="104">
        <f t="shared" si="1"/>
        <v>0.97200000000000009</v>
      </c>
      <c r="L27" s="44"/>
      <c r="M27" s="7"/>
      <c r="N27" s="36"/>
      <c r="O27" s="99">
        <f t="shared" si="16"/>
        <v>4.8000000000000004E-3</v>
      </c>
      <c r="P27" s="99">
        <f t="shared" si="2"/>
        <v>1.7639999999999999E-2</v>
      </c>
      <c r="Q27" s="7"/>
      <c r="R27" s="7"/>
      <c r="S27" s="7"/>
      <c r="T27" s="47">
        <f t="shared" si="14"/>
        <v>1.6</v>
      </c>
      <c r="U27" s="162">
        <f t="shared" si="15"/>
        <v>1.2744000000000002</v>
      </c>
      <c r="X27"/>
    </row>
    <row r="28" spans="1:25" x14ac:dyDescent="0.25">
      <c r="A28" s="115">
        <v>1.9</v>
      </c>
      <c r="B28" s="126">
        <f t="shared" si="3"/>
        <v>33500</v>
      </c>
      <c r="C28" s="101">
        <f t="shared" si="4"/>
        <v>1.9284999999999997E-2</v>
      </c>
      <c r="D28" s="102">
        <f t="shared" si="5"/>
        <v>0.64604749999999989</v>
      </c>
      <c r="E28" s="127">
        <f t="shared" si="6"/>
        <v>25.434940944881888</v>
      </c>
      <c r="F28" s="126">
        <f t="shared" si="7"/>
        <v>41900</v>
      </c>
      <c r="G28" s="101">
        <f t="shared" si="8"/>
        <v>2.1213499999999996E-2</v>
      </c>
      <c r="H28" s="102">
        <f t="shared" si="9"/>
        <v>0.88884564999999982</v>
      </c>
      <c r="I28" s="127">
        <f t="shared" si="10"/>
        <v>34.993923228346453</v>
      </c>
      <c r="J28" s="122">
        <f t="shared" si="0"/>
        <v>1.5</v>
      </c>
      <c r="K28" s="103">
        <f t="shared" si="1"/>
        <v>1</v>
      </c>
      <c r="L28" s="96"/>
      <c r="M28" s="7"/>
      <c r="N28" s="36"/>
      <c r="O28" s="99">
        <f t="shared" si="16"/>
        <v>5.1500000000000001E-3</v>
      </c>
      <c r="P28" s="99">
        <f t="shared" si="2"/>
        <v>1.9284999999999997E-2</v>
      </c>
      <c r="Q28" s="7"/>
      <c r="R28" s="7"/>
      <c r="S28" s="7"/>
      <c r="T28" s="159">
        <f t="shared" si="14"/>
        <v>1.7</v>
      </c>
      <c r="U28" s="164">
        <f t="shared" si="15"/>
        <v>1.2729999999999999</v>
      </c>
      <c r="X28"/>
    </row>
    <row r="29" spans="1:25" x14ac:dyDescent="0.25">
      <c r="A29" s="116">
        <v>2</v>
      </c>
      <c r="B29" s="128">
        <f t="shared" si="3"/>
        <v>31800</v>
      </c>
      <c r="C29" s="61">
        <f t="shared" si="4"/>
        <v>2.0999999999999998E-2</v>
      </c>
      <c r="D29" s="62">
        <f t="shared" si="5"/>
        <v>0.66779999999999995</v>
      </c>
      <c r="E29" s="16">
        <f t="shared" si="6"/>
        <v>26.291338582677167</v>
      </c>
      <c r="F29" s="128">
        <f t="shared" si="7"/>
        <v>39800</v>
      </c>
      <c r="G29" s="61">
        <f t="shared" si="8"/>
        <v>2.3099999999999999E-2</v>
      </c>
      <c r="H29" s="62">
        <f t="shared" si="9"/>
        <v>0.91937999999999998</v>
      </c>
      <c r="I29" s="16">
        <f t="shared" si="10"/>
        <v>36.196062992125988</v>
      </c>
      <c r="J29" s="123">
        <f t="shared" si="0"/>
        <v>1.5</v>
      </c>
      <c r="K29" s="104">
        <f t="shared" si="1"/>
        <v>1</v>
      </c>
      <c r="L29" s="44"/>
      <c r="M29" s="7"/>
      <c r="N29" s="36"/>
      <c r="O29" s="99">
        <f t="shared" si="16"/>
        <v>5.4999999999999997E-3</v>
      </c>
      <c r="P29" s="99">
        <f t="shared" si="2"/>
        <v>2.0999999999999998E-2</v>
      </c>
      <c r="Q29" s="7"/>
      <c r="R29" s="7"/>
      <c r="S29" s="7"/>
      <c r="T29" s="47">
        <f t="shared" si="14"/>
        <v>1.8</v>
      </c>
      <c r="U29" s="162">
        <f t="shared" si="15"/>
        <v>1.272</v>
      </c>
      <c r="X29"/>
    </row>
    <row r="30" spans="1:25" x14ac:dyDescent="0.25">
      <c r="A30" s="115">
        <v>2.1</v>
      </c>
      <c r="B30" s="126">
        <f t="shared" si="3"/>
        <v>30300</v>
      </c>
      <c r="C30" s="101">
        <f t="shared" si="4"/>
        <v>2.2784999999999996E-2</v>
      </c>
      <c r="D30" s="102">
        <f t="shared" si="5"/>
        <v>0.69038549999999987</v>
      </c>
      <c r="E30" s="127">
        <f t="shared" si="6"/>
        <v>27.18053149606299</v>
      </c>
      <c r="F30" s="126">
        <f t="shared" si="7"/>
        <v>37900</v>
      </c>
      <c r="G30" s="101">
        <f t="shared" si="8"/>
        <v>2.5063499999999999E-2</v>
      </c>
      <c r="H30" s="102">
        <f t="shared" si="9"/>
        <v>0.94990664999999996</v>
      </c>
      <c r="I30" s="127">
        <f t="shared" si="10"/>
        <v>37.397899606299212</v>
      </c>
      <c r="J30" s="122">
        <f t="shared" si="0"/>
        <v>1.5</v>
      </c>
      <c r="K30" s="103">
        <f t="shared" si="1"/>
        <v>1</v>
      </c>
      <c r="L30" s="96"/>
      <c r="M30" s="7"/>
      <c r="N30" s="36"/>
      <c r="O30" s="99">
        <f t="shared" si="16"/>
        <v>5.8499999999999993E-3</v>
      </c>
      <c r="P30" s="99">
        <f t="shared" si="2"/>
        <v>2.2784999999999996E-2</v>
      </c>
      <c r="Q30" s="7"/>
      <c r="R30" s="7"/>
      <c r="S30" s="7"/>
      <c r="T30" s="159">
        <f t="shared" si="14"/>
        <v>1.9000000000000001</v>
      </c>
      <c r="U30" s="164">
        <f t="shared" si="15"/>
        <v>1.2726000000000002</v>
      </c>
      <c r="X30"/>
    </row>
    <row r="31" spans="1:25" x14ac:dyDescent="0.25">
      <c r="A31" s="116">
        <v>2.2000000000000002</v>
      </c>
      <c r="B31" s="128">
        <f t="shared" si="3"/>
        <v>29000</v>
      </c>
      <c r="C31" s="61">
        <f t="shared" si="4"/>
        <v>2.4639999999999999E-2</v>
      </c>
      <c r="D31" s="62">
        <f t="shared" si="5"/>
        <v>0.71455999999999997</v>
      </c>
      <c r="E31" s="16">
        <f t="shared" si="6"/>
        <v>28.132283464566928</v>
      </c>
      <c r="F31" s="128">
        <f t="shared" si="7"/>
        <v>36200</v>
      </c>
      <c r="G31" s="61">
        <f t="shared" si="8"/>
        <v>2.7104E-2</v>
      </c>
      <c r="H31" s="62">
        <f t="shared" si="9"/>
        <v>0.98116480000000006</v>
      </c>
      <c r="I31" s="16">
        <f t="shared" si="10"/>
        <v>38.628535433070866</v>
      </c>
      <c r="J31" s="123">
        <f t="shared" si="0"/>
        <v>1.5</v>
      </c>
      <c r="K31" s="104">
        <f t="shared" si="1"/>
        <v>1</v>
      </c>
      <c r="L31" s="44"/>
      <c r="M31" s="7"/>
      <c r="N31" s="36"/>
      <c r="O31" s="99">
        <f t="shared" si="16"/>
        <v>6.1999999999999989E-3</v>
      </c>
      <c r="P31" s="99">
        <f t="shared" si="2"/>
        <v>2.4639999999999999E-2</v>
      </c>
      <c r="Q31" s="7"/>
      <c r="R31" s="7"/>
      <c r="S31" s="7"/>
      <c r="T31" s="47">
        <f t="shared" si="14"/>
        <v>2</v>
      </c>
      <c r="U31" s="162">
        <f t="shared" si="15"/>
        <v>1.2760000000000002</v>
      </c>
      <c r="X31"/>
    </row>
    <row r="32" spans="1:25" x14ac:dyDescent="0.25">
      <c r="A32" s="115">
        <v>2.2999999999999998</v>
      </c>
      <c r="B32" s="126">
        <f t="shared" si="3"/>
        <v>27700</v>
      </c>
      <c r="C32" s="101">
        <f t="shared" si="4"/>
        <v>2.6564999999999991E-2</v>
      </c>
      <c r="D32" s="102">
        <f t="shared" si="5"/>
        <v>0.73585049999999974</v>
      </c>
      <c r="E32" s="127">
        <f t="shared" si="6"/>
        <v>28.970492125984244</v>
      </c>
      <c r="F32" s="126">
        <f t="shared" si="7"/>
        <v>34600</v>
      </c>
      <c r="G32" s="101">
        <f t="shared" si="8"/>
        <v>2.9221499999999994E-2</v>
      </c>
      <c r="H32" s="102">
        <f t="shared" si="9"/>
        <v>1.0110638999999997</v>
      </c>
      <c r="I32" s="127">
        <f t="shared" si="10"/>
        <v>39.805665354330699</v>
      </c>
      <c r="J32" s="122">
        <f t="shared" si="0"/>
        <v>1.5</v>
      </c>
      <c r="K32" s="103">
        <f t="shared" si="1"/>
        <v>1</v>
      </c>
      <c r="L32" s="96"/>
      <c r="M32" s="7"/>
      <c r="N32" s="36"/>
      <c r="O32" s="99">
        <f t="shared" si="16"/>
        <v>6.5499999999999985E-3</v>
      </c>
      <c r="P32" s="99">
        <f t="shared" si="2"/>
        <v>2.6564999999999991E-2</v>
      </c>
      <c r="Q32" s="7"/>
      <c r="R32" s="7"/>
      <c r="S32" s="7"/>
      <c r="T32" s="159">
        <f t="shared" si="14"/>
        <v>2.0999999999999996</v>
      </c>
      <c r="U32" s="164">
        <f t="shared" si="15"/>
        <v>1.2742</v>
      </c>
      <c r="X32"/>
    </row>
    <row r="33" spans="1:24" x14ac:dyDescent="0.25">
      <c r="A33" s="116">
        <v>2.4</v>
      </c>
      <c r="B33" s="128">
        <f t="shared" si="3"/>
        <v>26500</v>
      </c>
      <c r="C33" s="61">
        <f t="shared" si="4"/>
        <v>2.8559999999999992E-2</v>
      </c>
      <c r="D33" s="62">
        <f t="shared" si="5"/>
        <v>0.75683999999999985</v>
      </c>
      <c r="E33" s="16">
        <f t="shared" si="6"/>
        <v>29.796850393700783</v>
      </c>
      <c r="F33" s="128">
        <f t="shared" si="7"/>
        <v>33200</v>
      </c>
      <c r="G33" s="61">
        <f t="shared" si="8"/>
        <v>3.1415999999999993E-2</v>
      </c>
      <c r="H33" s="62">
        <f t="shared" si="9"/>
        <v>1.0430111999999996</v>
      </c>
      <c r="I33" s="16">
        <f t="shared" si="10"/>
        <v>41.063433070866132</v>
      </c>
      <c r="J33" s="123">
        <f t="shared" si="0"/>
        <v>1.5</v>
      </c>
      <c r="K33" s="104">
        <f t="shared" si="1"/>
        <v>1</v>
      </c>
      <c r="L33" s="44"/>
      <c r="M33" s="7"/>
      <c r="N33" s="36"/>
      <c r="O33" s="99">
        <f t="shared" si="16"/>
        <v>6.8999999999999981E-3</v>
      </c>
      <c r="P33" s="99">
        <f t="shared" si="2"/>
        <v>2.8559999999999992E-2</v>
      </c>
      <c r="Q33" s="7"/>
      <c r="R33" s="7"/>
      <c r="S33" s="7"/>
      <c r="T33" s="47">
        <f t="shared" si="14"/>
        <v>2.1999999999999997</v>
      </c>
      <c r="U33" s="162">
        <f t="shared" si="15"/>
        <v>1.272</v>
      </c>
    </row>
    <row r="34" spans="1:24" x14ac:dyDescent="0.25">
      <c r="A34" s="115">
        <v>2.5</v>
      </c>
      <c r="B34" s="126">
        <f t="shared" si="3"/>
        <v>25500</v>
      </c>
      <c r="C34" s="101">
        <f t="shared" si="4"/>
        <v>3.0624999999999993E-2</v>
      </c>
      <c r="D34" s="102">
        <f t="shared" si="5"/>
        <v>0.78093749999999973</v>
      </c>
      <c r="E34" s="127">
        <f t="shared" si="6"/>
        <v>30.745570866141726</v>
      </c>
      <c r="F34" s="126">
        <f t="shared" si="7"/>
        <v>31800</v>
      </c>
      <c r="G34" s="101">
        <f t="shared" si="8"/>
        <v>3.3687499999999995E-2</v>
      </c>
      <c r="H34" s="102">
        <f t="shared" si="9"/>
        <v>1.0712624999999998</v>
      </c>
      <c r="I34" s="127">
        <f t="shared" si="10"/>
        <v>42.175688976377948</v>
      </c>
      <c r="J34" s="122">
        <f t="shared" si="0"/>
        <v>1.5</v>
      </c>
      <c r="K34" s="103">
        <f t="shared" si="1"/>
        <v>1</v>
      </c>
      <c r="L34" s="96"/>
      <c r="M34" s="7"/>
      <c r="N34" s="36"/>
      <c r="O34" s="99">
        <f t="shared" si="16"/>
        <v>7.2499999999999978E-3</v>
      </c>
      <c r="P34" s="99">
        <f t="shared" si="2"/>
        <v>3.0624999999999993E-2</v>
      </c>
      <c r="Q34" s="7"/>
      <c r="R34" s="7"/>
      <c r="S34" s="7"/>
      <c r="T34" s="159">
        <f t="shared" si="14"/>
        <v>2.2999999999999998</v>
      </c>
      <c r="U34" s="164">
        <f t="shared" si="15"/>
        <v>1.2749999999999999</v>
      </c>
    </row>
    <row r="35" spans="1:24" x14ac:dyDescent="0.25">
      <c r="A35" s="116">
        <v>2.6</v>
      </c>
      <c r="B35" s="128">
        <f t="shared" si="3"/>
        <v>24500</v>
      </c>
      <c r="C35" s="61">
        <f t="shared" si="4"/>
        <v>3.2759999999999991E-2</v>
      </c>
      <c r="D35" s="62">
        <f t="shared" si="5"/>
        <v>0.80261999999999978</v>
      </c>
      <c r="E35" s="16">
        <f t="shared" si="6"/>
        <v>31.59921259842519</v>
      </c>
      <c r="F35" s="128">
        <f t="shared" si="7"/>
        <v>30600</v>
      </c>
      <c r="G35" s="61">
        <f t="shared" si="8"/>
        <v>3.6035999999999992E-2</v>
      </c>
      <c r="H35" s="62">
        <f t="shared" si="9"/>
        <v>1.1027015999999996</v>
      </c>
      <c r="I35" s="16">
        <f t="shared" si="10"/>
        <v>43.413448818897628</v>
      </c>
      <c r="J35" s="123">
        <f t="shared" si="0"/>
        <v>1.5</v>
      </c>
      <c r="K35" s="104">
        <f t="shared" si="1"/>
        <v>1</v>
      </c>
      <c r="L35" s="44"/>
      <c r="M35" s="7"/>
      <c r="N35" s="36"/>
      <c r="O35" s="99">
        <f t="shared" si="16"/>
        <v>7.5999999999999974E-3</v>
      </c>
      <c r="P35" s="99">
        <f t="shared" si="2"/>
        <v>3.2759999999999991E-2</v>
      </c>
      <c r="Q35" s="7"/>
      <c r="R35" s="7"/>
      <c r="S35" s="7"/>
      <c r="T35" s="47">
        <f t="shared" si="14"/>
        <v>2.4</v>
      </c>
      <c r="U35" s="162">
        <f t="shared" si="15"/>
        <v>1.274</v>
      </c>
    </row>
    <row r="36" spans="1:24" x14ac:dyDescent="0.25">
      <c r="A36" s="115">
        <v>2.7</v>
      </c>
      <c r="B36" s="126">
        <f t="shared" si="3"/>
        <v>23600</v>
      </c>
      <c r="C36" s="101">
        <f t="shared" si="4"/>
        <v>3.4964999999999989E-2</v>
      </c>
      <c r="D36" s="102">
        <f t="shared" si="5"/>
        <v>0.82517399999999974</v>
      </c>
      <c r="E36" s="127">
        <f t="shared" si="6"/>
        <v>32.487165354330699</v>
      </c>
      <c r="F36" s="126">
        <f t="shared" si="7"/>
        <v>29500</v>
      </c>
      <c r="G36" s="101">
        <f t="shared" si="8"/>
        <v>3.8461499999999989E-2</v>
      </c>
      <c r="H36" s="102">
        <f t="shared" si="9"/>
        <v>1.1346142499999996</v>
      </c>
      <c r="I36" s="127">
        <f t="shared" si="10"/>
        <v>44.669852362204715</v>
      </c>
      <c r="J36" s="122">
        <f t="shared" si="0"/>
        <v>1.5</v>
      </c>
      <c r="K36" s="103">
        <f t="shared" si="1"/>
        <v>1</v>
      </c>
      <c r="L36" s="96"/>
      <c r="M36" s="7"/>
      <c r="N36" s="36"/>
      <c r="O36" s="99">
        <f t="shared" si="16"/>
        <v>7.949999999999997E-3</v>
      </c>
      <c r="P36" s="99">
        <f t="shared" si="2"/>
        <v>3.4964999999999989E-2</v>
      </c>
      <c r="Q36" s="7"/>
      <c r="R36" s="7"/>
      <c r="S36" s="7"/>
      <c r="T36" s="159">
        <f t="shared" si="14"/>
        <v>2.5</v>
      </c>
      <c r="U36" s="164">
        <f t="shared" si="15"/>
        <v>1.2744000000000002</v>
      </c>
    </row>
    <row r="37" spans="1:24" x14ac:dyDescent="0.25">
      <c r="A37" s="116">
        <v>2.8</v>
      </c>
      <c r="B37" s="128">
        <f t="shared" si="3"/>
        <v>22700</v>
      </c>
      <c r="C37" s="61">
        <f t="shared" si="4"/>
        <v>3.7239999999999988E-2</v>
      </c>
      <c r="D37" s="62">
        <f t="shared" si="5"/>
        <v>0.84534799999999977</v>
      </c>
      <c r="E37" s="16">
        <f t="shared" si="6"/>
        <v>33.281417322834635</v>
      </c>
      <c r="F37" s="128">
        <f t="shared" si="7"/>
        <v>28400</v>
      </c>
      <c r="G37" s="61">
        <f t="shared" si="8"/>
        <v>4.0963999999999993E-2</v>
      </c>
      <c r="H37" s="62">
        <f t="shared" si="9"/>
        <v>1.1633775999999998</v>
      </c>
      <c r="I37" s="16">
        <f t="shared" si="10"/>
        <v>45.802267716535425</v>
      </c>
      <c r="J37" s="123">
        <f t="shared" si="0"/>
        <v>1.5</v>
      </c>
      <c r="K37" s="104">
        <f t="shared" si="1"/>
        <v>1</v>
      </c>
      <c r="L37" s="44"/>
      <c r="M37" s="7"/>
      <c r="N37" s="36"/>
      <c r="O37" s="99">
        <f t="shared" si="16"/>
        <v>8.2999999999999966E-3</v>
      </c>
      <c r="P37" s="99">
        <f t="shared" si="2"/>
        <v>3.7239999999999988E-2</v>
      </c>
      <c r="Q37" s="7"/>
      <c r="R37" s="7"/>
      <c r="S37" s="7"/>
      <c r="T37" s="47">
        <f t="shared" si="14"/>
        <v>2.5999999999999996</v>
      </c>
      <c r="U37" s="162">
        <f t="shared" si="15"/>
        <v>1.2711999999999999</v>
      </c>
    </row>
    <row r="38" spans="1:24" x14ac:dyDescent="0.25">
      <c r="A38" s="115">
        <v>2.9</v>
      </c>
      <c r="B38" s="126">
        <f t="shared" si="3"/>
        <v>22000</v>
      </c>
      <c r="C38" s="101">
        <f t="shared" si="4"/>
        <v>3.9584999999999988E-2</v>
      </c>
      <c r="D38" s="102">
        <f t="shared" si="5"/>
        <v>0.87086999999999981</v>
      </c>
      <c r="E38" s="127">
        <f t="shared" si="6"/>
        <v>34.286220472440938</v>
      </c>
      <c r="F38" s="126">
        <f t="shared" si="7"/>
        <v>27500</v>
      </c>
      <c r="G38" s="101">
        <f t="shared" si="8"/>
        <v>4.3543499999999992E-2</v>
      </c>
      <c r="H38" s="102">
        <f t="shared" si="9"/>
        <v>1.1974462499999998</v>
      </c>
      <c r="I38" s="127">
        <f t="shared" si="10"/>
        <v>47.143553149606291</v>
      </c>
      <c r="J38" s="122">
        <f t="shared" si="0"/>
        <v>1.5</v>
      </c>
      <c r="K38" s="103">
        <f t="shared" si="1"/>
        <v>1</v>
      </c>
      <c r="L38" s="96"/>
      <c r="M38" s="7"/>
      <c r="N38" s="36"/>
      <c r="O38" s="99">
        <f t="shared" si="16"/>
        <v>8.6499999999999962E-3</v>
      </c>
      <c r="P38" s="99">
        <f t="shared" si="2"/>
        <v>3.9584999999999988E-2</v>
      </c>
      <c r="Q38" s="7"/>
      <c r="R38" s="7"/>
      <c r="S38" s="7"/>
      <c r="T38" s="159">
        <f t="shared" si="14"/>
        <v>2.6999999999999997</v>
      </c>
      <c r="U38" s="164">
        <f t="shared" si="15"/>
        <v>1.276</v>
      </c>
    </row>
    <row r="39" spans="1:24" ht="16.5" thickBot="1" x14ac:dyDescent="0.3">
      <c r="A39" s="117">
        <v>3</v>
      </c>
      <c r="B39" s="129">
        <f t="shared" si="3"/>
        <v>21200</v>
      </c>
      <c r="C39" s="130">
        <f t="shared" si="4"/>
        <v>4.1999999999999982E-2</v>
      </c>
      <c r="D39" s="131">
        <f t="shared" si="5"/>
        <v>0.89039999999999964</v>
      </c>
      <c r="E39" s="17">
        <f t="shared" si="6"/>
        <v>35.055118110236208</v>
      </c>
      <c r="F39" s="129">
        <f t="shared" si="7"/>
        <v>26500</v>
      </c>
      <c r="G39" s="130">
        <f t="shared" si="8"/>
        <v>4.6199999999999984E-2</v>
      </c>
      <c r="H39" s="131">
        <f t="shared" si="9"/>
        <v>1.2242999999999995</v>
      </c>
      <c r="I39" s="17">
        <f t="shared" si="10"/>
        <v>48.200787401574786</v>
      </c>
      <c r="J39" s="123">
        <f t="shared" si="0"/>
        <v>1.5</v>
      </c>
      <c r="K39" s="104">
        <f t="shared" si="1"/>
        <v>1</v>
      </c>
      <c r="L39" s="45"/>
      <c r="M39" s="7"/>
      <c r="N39" s="36"/>
      <c r="O39" s="99">
        <f t="shared" si="16"/>
        <v>8.9999999999999959E-3</v>
      </c>
      <c r="P39" s="99">
        <f t="shared" si="2"/>
        <v>4.1999999999999982E-2</v>
      </c>
      <c r="Q39" s="7"/>
      <c r="R39" s="7"/>
      <c r="S39" s="7"/>
      <c r="T39" s="47">
        <f t="shared" si="14"/>
        <v>2.8</v>
      </c>
      <c r="U39" s="162">
        <f t="shared" si="15"/>
        <v>1.272</v>
      </c>
    </row>
    <row r="40" spans="1:24" x14ac:dyDescent="0.25">
      <c r="A40" s="7"/>
      <c r="B40" s="7"/>
      <c r="C40" s="7"/>
      <c r="D40" s="9"/>
      <c r="E40" s="9"/>
      <c r="F40" s="9"/>
      <c r="G40" s="8"/>
      <c r="H40" s="9"/>
      <c r="I40" s="7"/>
      <c r="J40" s="18"/>
      <c r="K40" s="28" t="s">
        <v>43</v>
      </c>
      <c r="L40" s="7"/>
      <c r="M40" s="7"/>
      <c r="N40" s="7"/>
      <c r="O40" s="34"/>
      <c r="P40" s="34"/>
      <c r="Q40" s="7"/>
      <c r="R40" s="7"/>
      <c r="S40" s="7"/>
      <c r="T40" s="7"/>
      <c r="U40" s="7"/>
    </row>
    <row r="41" spans="1:24" x14ac:dyDescent="0.25">
      <c r="A41" s="7"/>
      <c r="B41" s="7"/>
      <c r="C41" s="7"/>
      <c r="D41" s="20"/>
      <c r="E41" s="20"/>
      <c r="F41" s="9"/>
      <c r="G41" s="8"/>
      <c r="H41" s="8"/>
      <c r="I41" s="8"/>
      <c r="J41" s="8"/>
      <c r="K41" s="8"/>
      <c r="L41" s="7"/>
      <c r="M41" s="32"/>
      <c r="N41" s="32"/>
      <c r="O41" s="33"/>
      <c r="P41" s="34"/>
      <c r="Q41" s="7"/>
      <c r="R41" s="7"/>
      <c r="S41" s="7"/>
      <c r="T41" s="7"/>
      <c r="U41" s="7"/>
    </row>
    <row r="42" spans="1:24" x14ac:dyDescent="0.25">
      <c r="A42" s="8"/>
      <c r="B42" s="19"/>
      <c r="C42" s="20"/>
      <c r="D42" s="20"/>
      <c r="E42" s="20"/>
      <c r="F42" s="9"/>
      <c r="G42" s="8"/>
      <c r="H42" s="8"/>
      <c r="I42" s="8"/>
      <c r="J42" s="7"/>
      <c r="K42" s="7"/>
      <c r="L42" s="1"/>
      <c r="M42" s="1"/>
      <c r="N42" s="1"/>
      <c r="O42" s="1"/>
      <c r="P42" s="1"/>
      <c r="Q42" s="1"/>
      <c r="R42" s="7"/>
      <c r="S42" s="7"/>
      <c r="T42" s="7"/>
      <c r="U42" s="7"/>
    </row>
    <row r="43" spans="1:24" ht="25.5" x14ac:dyDescent="0.35">
      <c r="I43" s="40"/>
      <c r="J43" s="7"/>
      <c r="K43" s="1"/>
      <c r="L43" s="1"/>
      <c r="M43" s="1"/>
      <c r="N43" s="1"/>
      <c r="O43" s="1"/>
      <c r="P43" s="1"/>
      <c r="Q43" s="1"/>
      <c r="R43" s="40"/>
      <c r="S43" s="41"/>
      <c r="T43" s="41"/>
      <c r="U43" s="41"/>
    </row>
    <row r="44" spans="1:24" ht="25.5" x14ac:dyDescent="0.35">
      <c r="A44" s="256" t="s">
        <v>15</v>
      </c>
      <c r="B44" s="257"/>
      <c r="C44" s="258" t="s">
        <v>16</v>
      </c>
      <c r="D44" s="259"/>
      <c r="E44" s="259"/>
      <c r="F44" s="260"/>
      <c r="G44" s="39"/>
      <c r="H44" s="40"/>
      <c r="I44" s="1"/>
      <c r="J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4" ht="16.5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4" ht="16.5" thickBot="1" x14ac:dyDescent="0.3">
      <c r="A46" s="261" t="s">
        <v>0</v>
      </c>
      <c r="B46" s="262"/>
      <c r="C46" s="154" t="s">
        <v>17</v>
      </c>
      <c r="D46" s="155" t="s">
        <v>18</v>
      </c>
      <c r="E46" s="155" t="s">
        <v>19</v>
      </c>
      <c r="F46" s="156" t="s">
        <v>11</v>
      </c>
      <c r="G46" s="157" t="s">
        <v>27</v>
      </c>
      <c r="H46" s="158" t="s">
        <v>34</v>
      </c>
      <c r="I46" s="265" t="s">
        <v>2</v>
      </c>
      <c r="J46" s="266"/>
      <c r="K46" s="266"/>
      <c r="L46" s="267"/>
      <c r="M46" s="1"/>
      <c r="N46" s="1"/>
      <c r="O46" s="1"/>
      <c r="P46" s="1"/>
      <c r="Q46" s="1"/>
      <c r="R46" s="1"/>
      <c r="S46" s="1"/>
      <c r="T46" s="1"/>
      <c r="U46" s="1"/>
    </row>
    <row r="47" spans="1:24" s="64" customFormat="1" ht="16.5" thickBot="1" x14ac:dyDescent="0.3">
      <c r="A47" s="5"/>
      <c r="B47" s="1"/>
      <c r="C47" s="150" t="s">
        <v>5</v>
      </c>
      <c r="D47" s="150" t="s">
        <v>5</v>
      </c>
      <c r="E47" s="150" t="s">
        <v>14</v>
      </c>
      <c r="F47" s="151" t="s">
        <v>3</v>
      </c>
      <c r="G47" s="152" t="s">
        <v>14</v>
      </c>
      <c r="H47" s="153" t="s">
        <v>35</v>
      </c>
      <c r="I47" s="261"/>
      <c r="J47" s="262"/>
      <c r="M47" s="68"/>
      <c r="N47" s="68"/>
      <c r="O47" s="68"/>
      <c r="P47" s="68"/>
      <c r="Q47" s="68"/>
      <c r="R47" s="68"/>
      <c r="S47" s="68"/>
      <c r="T47" s="68"/>
      <c r="U47" s="68"/>
      <c r="X47" s="108"/>
    </row>
    <row r="48" spans="1:24" s="81" customFormat="1" ht="17.25" thickTop="1" thickBot="1" x14ac:dyDescent="0.3">
      <c r="A48" s="263" t="str">
        <f>B2</f>
        <v>Diamantbeschichtet bei IMS</v>
      </c>
      <c r="B48" s="264"/>
      <c r="C48" s="80">
        <f t="shared" ref="C48:L48" si="17">IF($B$2=$A50,C50)+IF($B$2=$A51,C51)+IF($B$2=$A52,C52)+IF($B$2=$A53,C53)+IF($B$2=$A54,C54)+IF($B$2=$A55,C55)+IF($B$2=$A56,C56)+IF($B$2=$A57,C57)+IF($B$2=$A58,C58)+IF($B$2=$A59,C59)+IF($B$2=$A60,C60)+IF($B$2=$A61,C61)+IF($B$2=$A62,C62)</f>
        <v>200</v>
      </c>
      <c r="D48" s="80">
        <f t="shared" si="17"/>
        <v>250</v>
      </c>
      <c r="E48" s="80">
        <f t="shared" si="17"/>
        <v>0.5</v>
      </c>
      <c r="F48" s="80">
        <f t="shared" si="17"/>
        <v>1.5</v>
      </c>
      <c r="G48" s="80">
        <f t="shared" si="17"/>
        <v>1</v>
      </c>
      <c r="H48" s="146">
        <f t="shared" si="17"/>
        <v>0.8</v>
      </c>
      <c r="I48" s="147"/>
      <c r="J48" s="148"/>
      <c r="K48" s="148"/>
      <c r="L48" s="149">
        <f t="shared" si="17"/>
        <v>5</v>
      </c>
      <c r="M48" s="95"/>
      <c r="N48" s="95"/>
      <c r="O48" s="95"/>
      <c r="P48" s="95"/>
      <c r="Q48" s="95"/>
      <c r="R48" s="95"/>
      <c r="S48" s="95"/>
      <c r="T48" s="95"/>
      <c r="U48" s="95"/>
      <c r="V48" s="95"/>
      <c r="X48" s="108"/>
    </row>
    <row r="49" spans="1:21" customFormat="1" ht="17.25" thickTop="1" thickBot="1" x14ac:dyDescent="0.3">
      <c r="A49" s="64"/>
      <c r="B49" s="26"/>
      <c r="C49" s="26"/>
      <c r="D49" s="26"/>
      <c r="E49" s="65"/>
      <c r="F49" s="26"/>
      <c r="G49" s="98"/>
      <c r="H49" s="136"/>
      <c r="I49" s="1"/>
      <c r="M49" s="1"/>
      <c r="N49" s="1"/>
      <c r="O49" s="1"/>
      <c r="P49" s="1"/>
      <c r="Q49" s="1"/>
      <c r="R49" s="1"/>
      <c r="S49" s="1"/>
      <c r="T49" s="1"/>
      <c r="U49" s="1"/>
    </row>
    <row r="50" spans="1:21" customFormat="1" ht="15" x14ac:dyDescent="0.25">
      <c r="A50" s="251" t="s">
        <v>25</v>
      </c>
      <c r="B50" s="252"/>
      <c r="C50" s="21">
        <v>150</v>
      </c>
      <c r="D50" s="21">
        <v>200</v>
      </c>
      <c r="E50" s="66">
        <v>1</v>
      </c>
      <c r="F50" s="105">
        <v>6</v>
      </c>
      <c r="G50" s="97">
        <v>3</v>
      </c>
      <c r="H50" s="97">
        <v>0.2</v>
      </c>
      <c r="I50" s="141" t="s">
        <v>40</v>
      </c>
      <c r="L50">
        <v>1</v>
      </c>
      <c r="M50" s="1"/>
      <c r="N50" s="1"/>
      <c r="O50" s="1"/>
      <c r="P50" s="1"/>
      <c r="Q50" s="1"/>
      <c r="R50" s="1"/>
      <c r="S50" s="1"/>
      <c r="T50" s="1"/>
      <c r="U50" s="1"/>
    </row>
    <row r="51" spans="1:21" customFormat="1" ht="15" x14ac:dyDescent="0.25">
      <c r="A51" s="251" t="s">
        <v>33</v>
      </c>
      <c r="B51" s="252"/>
      <c r="C51" s="23">
        <v>150</v>
      </c>
      <c r="D51" s="23">
        <v>180</v>
      </c>
      <c r="E51" s="67">
        <v>0.8</v>
      </c>
      <c r="F51" s="24">
        <v>3</v>
      </c>
      <c r="G51" s="97">
        <f>F51/1.5</f>
        <v>2</v>
      </c>
      <c r="H51" s="97">
        <v>0.5</v>
      </c>
      <c r="I51" s="141" t="s">
        <v>36</v>
      </c>
      <c r="L51">
        <v>2</v>
      </c>
      <c r="M51" s="1"/>
      <c r="N51" s="1"/>
      <c r="O51" s="1"/>
      <c r="P51" s="1"/>
    </row>
    <row r="52" spans="1:21" customFormat="1" ht="15" x14ac:dyDescent="0.25">
      <c r="A52" s="251" t="s">
        <v>26</v>
      </c>
      <c r="B52" s="252"/>
      <c r="C52" s="23">
        <v>150</v>
      </c>
      <c r="D52" s="23">
        <v>180</v>
      </c>
      <c r="E52" s="23">
        <v>1.5</v>
      </c>
      <c r="F52" s="24">
        <v>3</v>
      </c>
      <c r="G52" s="97">
        <f>F52/1.5</f>
        <v>2</v>
      </c>
      <c r="H52" s="97">
        <v>0.5</v>
      </c>
      <c r="I52" s="141" t="s">
        <v>37</v>
      </c>
      <c r="L52">
        <v>3</v>
      </c>
      <c r="M52" s="1"/>
      <c r="N52" s="1"/>
      <c r="O52" s="1"/>
      <c r="P52" s="1"/>
    </row>
    <row r="53" spans="1:21" customFormat="1" ht="15" x14ac:dyDescent="0.25">
      <c r="A53" s="251" t="s">
        <v>20</v>
      </c>
      <c r="B53" s="252"/>
      <c r="C53" s="23">
        <v>100</v>
      </c>
      <c r="D53" s="23">
        <v>150</v>
      </c>
      <c r="E53" s="23">
        <v>0.3</v>
      </c>
      <c r="F53" s="25">
        <v>1.5</v>
      </c>
      <c r="G53" s="97">
        <f>F53/1.5</f>
        <v>1</v>
      </c>
      <c r="H53" s="97">
        <v>1</v>
      </c>
      <c r="I53" s="141" t="s">
        <v>21</v>
      </c>
      <c r="L53">
        <v>4</v>
      </c>
      <c r="M53" s="1"/>
      <c r="N53" s="1"/>
      <c r="O53" s="1"/>
      <c r="P53" s="1"/>
    </row>
    <row r="54" spans="1:21" customFormat="1" ht="15" x14ac:dyDescent="0.25">
      <c r="A54" s="251" t="s">
        <v>24</v>
      </c>
      <c r="B54" s="252"/>
      <c r="C54" s="23">
        <v>200</v>
      </c>
      <c r="D54" s="23">
        <v>250</v>
      </c>
      <c r="E54" s="23">
        <v>0.5</v>
      </c>
      <c r="F54" s="25">
        <v>1.5</v>
      </c>
      <c r="G54" s="97">
        <f>F54/1.5</f>
        <v>1</v>
      </c>
      <c r="H54" s="97">
        <v>0.8</v>
      </c>
      <c r="I54" s="141" t="s">
        <v>22</v>
      </c>
      <c r="L54">
        <v>5</v>
      </c>
      <c r="M54" s="1"/>
      <c r="N54" s="1"/>
      <c r="O54" s="1"/>
      <c r="P54" s="1"/>
    </row>
    <row r="55" spans="1:21" customFormat="1" ht="15" x14ac:dyDescent="0.25">
      <c r="A55" s="251" t="s">
        <v>32</v>
      </c>
      <c r="B55" s="252"/>
      <c r="C55" s="23">
        <v>200</v>
      </c>
      <c r="D55" s="23">
        <v>250</v>
      </c>
      <c r="E55" s="23">
        <v>0.5</v>
      </c>
      <c r="F55" s="24">
        <v>3</v>
      </c>
      <c r="G55" s="97">
        <f>F55/1.5</f>
        <v>2</v>
      </c>
      <c r="H55" s="97">
        <v>0.8</v>
      </c>
      <c r="I55" s="141" t="s">
        <v>23</v>
      </c>
      <c r="L55">
        <v>6</v>
      </c>
      <c r="M55" s="1"/>
      <c r="N55" s="1"/>
      <c r="O55" s="1"/>
      <c r="P55" s="1"/>
    </row>
    <row r="56" spans="1:21" customFormat="1" ht="15" x14ac:dyDescent="0.25">
      <c r="A56" s="251"/>
      <c r="B56" s="252"/>
      <c r="C56" s="23"/>
      <c r="D56" s="23"/>
      <c r="E56" s="23"/>
      <c r="F56" s="24"/>
      <c r="G56" s="97"/>
      <c r="H56" s="97"/>
      <c r="I56" s="142"/>
      <c r="L56">
        <v>7</v>
      </c>
      <c r="M56" s="1"/>
      <c r="N56" s="1"/>
      <c r="O56" s="1"/>
      <c r="P56" s="1"/>
    </row>
    <row r="57" spans="1:21" customFormat="1" ht="15" x14ac:dyDescent="0.25">
      <c r="A57" s="251"/>
      <c r="B57" s="252"/>
      <c r="C57" s="23"/>
      <c r="D57" s="23"/>
      <c r="E57" s="23"/>
      <c r="F57" s="24"/>
      <c r="G57" s="97"/>
      <c r="H57" s="97"/>
      <c r="I57" s="142"/>
      <c r="L57">
        <v>8</v>
      </c>
      <c r="M57" s="1"/>
      <c r="N57" s="1"/>
      <c r="O57" s="1"/>
      <c r="P57" s="1"/>
    </row>
    <row r="58" spans="1:21" customFormat="1" ht="15" x14ac:dyDescent="0.25">
      <c r="A58" s="251"/>
      <c r="B58" s="252"/>
      <c r="C58" s="23"/>
      <c r="D58" s="23"/>
      <c r="E58" s="67"/>
      <c r="F58" s="24"/>
      <c r="G58" s="97"/>
      <c r="H58" s="135"/>
      <c r="I58" s="142"/>
      <c r="L58">
        <v>9</v>
      </c>
      <c r="M58" s="1"/>
      <c r="N58" s="1"/>
      <c r="O58" s="1"/>
      <c r="P58" s="1"/>
    </row>
    <row r="59" spans="1:21" customFormat="1" ht="15" x14ac:dyDescent="0.25">
      <c r="A59" s="251"/>
      <c r="B59" s="252"/>
      <c r="C59" s="23"/>
      <c r="D59" s="23"/>
      <c r="E59" s="23"/>
      <c r="F59" s="24"/>
      <c r="G59" s="97"/>
      <c r="H59" s="135"/>
      <c r="I59" s="142"/>
      <c r="L59">
        <v>10</v>
      </c>
      <c r="M59" s="1"/>
      <c r="N59" s="1"/>
      <c r="O59" s="1"/>
      <c r="P59" s="1"/>
    </row>
    <row r="60" spans="1:21" customFormat="1" ht="15" x14ac:dyDescent="0.25">
      <c r="A60" s="251"/>
      <c r="B60" s="252"/>
      <c r="C60" s="23"/>
      <c r="D60" s="23"/>
      <c r="E60" s="23"/>
      <c r="F60" s="25"/>
      <c r="G60" s="97"/>
      <c r="H60" s="135"/>
      <c r="I60" s="142"/>
      <c r="L60">
        <v>11</v>
      </c>
      <c r="M60" s="1"/>
      <c r="N60" s="1"/>
      <c r="O60" s="1"/>
      <c r="P60" s="1"/>
    </row>
    <row r="61" spans="1:21" customFormat="1" ht="15" x14ac:dyDescent="0.25">
      <c r="A61" s="251"/>
      <c r="B61" s="252"/>
      <c r="C61" s="23"/>
      <c r="D61" s="23"/>
      <c r="E61" s="23"/>
      <c r="F61" s="25"/>
      <c r="G61" s="97"/>
      <c r="H61" s="135"/>
      <c r="I61" s="142"/>
      <c r="L61">
        <v>12</v>
      </c>
      <c r="M61" s="1"/>
      <c r="N61" s="1"/>
      <c r="O61" s="1"/>
      <c r="P61" s="1"/>
    </row>
    <row r="62" spans="1:21" customFormat="1" ht="15" x14ac:dyDescent="0.25">
      <c r="A62" s="251"/>
      <c r="B62" s="252"/>
      <c r="C62" s="23"/>
      <c r="D62" s="23"/>
      <c r="E62" s="23"/>
      <c r="F62" s="24"/>
      <c r="G62" s="97"/>
      <c r="H62" s="135"/>
      <c r="I62" s="142"/>
      <c r="L62">
        <v>13</v>
      </c>
      <c r="M62" s="2"/>
      <c r="N62" s="1"/>
      <c r="O62" s="35"/>
      <c r="P62" s="1"/>
      <c r="Q62" s="1"/>
      <c r="R62" s="1"/>
      <c r="S62" s="1"/>
      <c r="T62" s="1"/>
      <c r="U62" s="1"/>
    </row>
    <row r="63" spans="1:21" customFormat="1" ht="15" x14ac:dyDescent="0.25">
      <c r="K63" s="1"/>
    </row>
    <row r="64" spans="1:21" customFormat="1" ht="15" x14ac:dyDescent="0.25">
      <c r="K64" s="69"/>
    </row>
    <row r="65" spans="11:11" customFormat="1" ht="15" x14ac:dyDescent="0.25">
      <c r="K65" s="1"/>
    </row>
  </sheetData>
  <mergeCells count="32">
    <mergeCell ref="A60:B60"/>
    <mergeCell ref="A61:B61"/>
    <mergeCell ref="A62:B62"/>
    <mergeCell ref="A54:B54"/>
    <mergeCell ref="A55:B55"/>
    <mergeCell ref="A56:B56"/>
    <mergeCell ref="A57:B57"/>
    <mergeCell ref="A58:B58"/>
    <mergeCell ref="A59:B59"/>
    <mergeCell ref="A53:B53"/>
    <mergeCell ref="D9:E9"/>
    <mergeCell ref="H9:I9"/>
    <mergeCell ref="A44:B44"/>
    <mergeCell ref="C44:F44"/>
    <mergeCell ref="A46:B46"/>
    <mergeCell ref="I46:L46"/>
    <mergeCell ref="I47:J47"/>
    <mergeCell ref="A48:B48"/>
    <mergeCell ref="A50:B50"/>
    <mergeCell ref="A51:B51"/>
    <mergeCell ref="A52:B52"/>
    <mergeCell ref="D6:E6"/>
    <mergeCell ref="H6:I6"/>
    <mergeCell ref="K6:K7"/>
    <mergeCell ref="T6:U6"/>
    <mergeCell ref="C7:E7"/>
    <mergeCell ref="G7:I7"/>
    <mergeCell ref="A1:C1"/>
    <mergeCell ref="D1:G1"/>
    <mergeCell ref="B2:G2"/>
    <mergeCell ref="D3:E3"/>
    <mergeCell ref="D4:E4"/>
  </mergeCells>
  <dataValidations count="1">
    <dataValidation type="list" allowBlank="1" showInputMessage="1" showErrorMessage="1" sqref="B2:C2" xr:uid="{00000000-0002-0000-0500-000000000000}">
      <formula1>$A$50:$A$62</formula1>
    </dataValidation>
  </dataValidations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shapeId="7169" r:id="rId3">
          <objectPr defaultSize="0" autoPict="0" r:id="rId4">
            <anchor moveWithCells="1" sizeWithCells="1">
              <from>
                <xdr:col>7</xdr:col>
                <xdr:colOff>371475</xdr:colOff>
                <xdr:row>0</xdr:row>
                <xdr:rowOff>104775</xdr:rowOff>
              </from>
              <to>
                <xdr:col>10</xdr:col>
                <xdr:colOff>933450</xdr:colOff>
                <xdr:row>1</xdr:row>
                <xdr:rowOff>247650</xdr:rowOff>
              </to>
            </anchor>
          </objectPr>
        </oleObject>
      </mc:Choice>
      <mc:Fallback>
        <oleObject shapeId="716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65"/>
  <sheetViews>
    <sheetView workbookViewId="0">
      <selection activeCell="B2" sqref="B2:G2"/>
    </sheetView>
  </sheetViews>
  <sheetFormatPr baseColWidth="10" defaultColWidth="17.5703125" defaultRowHeight="15.75" x14ac:dyDescent="0.25"/>
  <cols>
    <col min="1" max="1" width="25.85546875" bestFit="1" customWidth="1"/>
    <col min="2" max="2" width="17" bestFit="1" customWidth="1"/>
    <col min="3" max="3" width="11.42578125" bestFit="1" customWidth="1"/>
    <col min="4" max="4" width="9.85546875" bestFit="1" customWidth="1"/>
    <col min="5" max="5" width="10.85546875" bestFit="1" customWidth="1"/>
    <col min="6" max="6" width="17" bestFit="1" customWidth="1"/>
    <col min="7" max="7" width="11.42578125" bestFit="1" customWidth="1"/>
    <col min="8" max="8" width="10.7109375" bestFit="1" customWidth="1"/>
    <col min="9" max="9" width="11.7109375" customWidth="1"/>
    <col min="10" max="10" width="11" customWidth="1"/>
    <col min="11" max="11" width="14.5703125" customWidth="1"/>
    <col min="12" max="12" width="3" bestFit="1" customWidth="1"/>
    <col min="13" max="14" width="0" hidden="1" customWidth="1"/>
    <col min="15" max="15" width="9.5703125" hidden="1" customWidth="1"/>
    <col min="16" max="16" width="9.85546875" hidden="1" customWidth="1"/>
    <col min="17" max="19" width="0" hidden="1" customWidth="1"/>
    <col min="20" max="20" width="9.85546875" bestFit="1" customWidth="1"/>
    <col min="21" max="21" width="10.7109375" bestFit="1" customWidth="1"/>
    <col min="22" max="22" width="3.85546875" customWidth="1"/>
    <col min="23" max="23" width="0" hidden="1" customWidth="1"/>
    <col min="24" max="24" width="39.140625" style="106" bestFit="1" customWidth="1"/>
    <col min="25" max="25" width="5.28515625" bestFit="1" customWidth="1"/>
  </cols>
  <sheetData>
    <row r="1" spans="1:26" ht="26.25" customHeight="1" thickBot="1" x14ac:dyDescent="0.3">
      <c r="A1" s="231" t="s">
        <v>62</v>
      </c>
      <c r="B1" s="232"/>
      <c r="C1" s="232"/>
      <c r="D1" s="233"/>
      <c r="E1" s="234"/>
      <c r="F1" s="234"/>
      <c r="G1" s="234"/>
      <c r="H1" s="27">
        <v>1.1000000000000001</v>
      </c>
      <c r="I1" s="4"/>
      <c r="J1" s="3"/>
      <c r="K1" s="3"/>
      <c r="L1" s="3"/>
      <c r="M1" s="29"/>
      <c r="X1" s="106" t="s">
        <v>28</v>
      </c>
      <c r="Z1" t="s">
        <v>50</v>
      </c>
    </row>
    <row r="2" spans="1:26" ht="27" thickBot="1" x14ac:dyDescent="0.45">
      <c r="A2" s="10" t="s">
        <v>0</v>
      </c>
      <c r="B2" s="235" t="s">
        <v>32</v>
      </c>
      <c r="C2" s="236"/>
      <c r="D2" s="236"/>
      <c r="E2" s="236"/>
      <c r="F2" s="236"/>
      <c r="G2" s="237"/>
      <c r="H2" s="58"/>
      <c r="I2" s="59"/>
      <c r="J2" s="3"/>
      <c r="K2" s="3"/>
      <c r="L2" s="3"/>
      <c r="M2" s="4"/>
      <c r="N2" s="4"/>
      <c r="O2" s="4"/>
      <c r="P2" s="30"/>
      <c r="Q2" s="31"/>
      <c r="R2" s="6"/>
      <c r="S2" s="4"/>
      <c r="T2" s="4"/>
      <c r="U2" s="4"/>
      <c r="X2" s="106" t="s">
        <v>42</v>
      </c>
      <c r="Z2" t="s">
        <v>54</v>
      </c>
    </row>
    <row r="3" spans="1:26" ht="16.5" customHeight="1" thickBot="1" x14ac:dyDescent="0.3">
      <c r="A3" s="73" t="s">
        <v>63</v>
      </c>
      <c r="B3" s="74">
        <v>60000</v>
      </c>
      <c r="C3" s="70" t="s">
        <v>68</v>
      </c>
      <c r="D3" s="238" t="s">
        <v>39</v>
      </c>
      <c r="E3" s="239"/>
      <c r="F3" s="168">
        <f>E48</f>
        <v>0.5</v>
      </c>
      <c r="G3" s="76" t="s">
        <v>65</v>
      </c>
      <c r="H3" s="143" t="s">
        <v>67</v>
      </c>
      <c r="I3" s="93"/>
      <c r="J3" s="94"/>
      <c r="K3" s="110"/>
      <c r="L3" s="7"/>
      <c r="M3" s="32"/>
      <c r="N3" s="32"/>
      <c r="O3" s="33"/>
      <c r="P3" s="7"/>
      <c r="Q3" s="7"/>
      <c r="R3" s="7"/>
      <c r="S3" s="7"/>
      <c r="T3" s="7"/>
      <c r="U3" s="7"/>
      <c r="X3" s="106" t="s">
        <v>29</v>
      </c>
      <c r="Z3" t="s">
        <v>51</v>
      </c>
    </row>
    <row r="4" spans="1:26" ht="16.5" customHeight="1" thickBot="1" x14ac:dyDescent="0.3">
      <c r="A4" s="73" t="s">
        <v>64</v>
      </c>
      <c r="B4" s="75">
        <v>15000</v>
      </c>
      <c r="C4" s="71" t="s">
        <v>68</v>
      </c>
      <c r="D4" s="240" t="s">
        <v>66</v>
      </c>
      <c r="E4" s="241"/>
      <c r="F4" s="63">
        <f>F48</f>
        <v>3</v>
      </c>
      <c r="G4" s="71" t="s">
        <v>3</v>
      </c>
      <c r="H4" s="163">
        <f>L48</f>
        <v>6</v>
      </c>
      <c r="I4" s="144"/>
      <c r="J4" s="145"/>
      <c r="K4" s="7"/>
      <c r="L4" s="7"/>
      <c r="M4" s="32"/>
      <c r="N4" s="32"/>
      <c r="O4" s="33"/>
      <c r="P4" s="7"/>
      <c r="Q4" s="7"/>
      <c r="R4" s="7"/>
      <c r="S4" s="7"/>
      <c r="T4" s="7"/>
      <c r="U4" s="7"/>
      <c r="X4" s="106" t="s">
        <v>30</v>
      </c>
      <c r="Z4" t="s">
        <v>52</v>
      </c>
    </row>
    <row r="5" spans="1:26" s="92" customFormat="1" ht="18" customHeight="1" thickBot="1" x14ac:dyDescent="0.3">
      <c r="A5" s="82"/>
      <c r="B5" s="83"/>
      <c r="C5" s="84"/>
      <c r="D5" s="85"/>
      <c r="E5" s="86"/>
      <c r="F5" s="87"/>
      <c r="G5" s="84"/>
      <c r="H5" s="88"/>
      <c r="I5" s="89"/>
      <c r="J5" s="90"/>
      <c r="K5" s="91"/>
      <c r="L5" s="91"/>
      <c r="M5" s="33"/>
      <c r="N5" s="33"/>
      <c r="O5" s="33"/>
      <c r="P5" s="91"/>
      <c r="Q5" s="91"/>
      <c r="R5" s="91"/>
      <c r="S5" s="91"/>
      <c r="T5" s="91"/>
      <c r="U5" s="91"/>
      <c r="X5" s="107" t="s">
        <v>31</v>
      </c>
      <c r="Z5" s="92" t="s">
        <v>53</v>
      </c>
    </row>
    <row r="6" spans="1:26" ht="16.5" customHeight="1" thickBot="1" x14ac:dyDescent="0.3">
      <c r="A6" s="72" t="s">
        <v>69</v>
      </c>
      <c r="B6" s="77" t="s">
        <v>4</v>
      </c>
      <c r="C6" s="78">
        <f>C48</f>
        <v>200</v>
      </c>
      <c r="D6" s="242" t="s">
        <v>5</v>
      </c>
      <c r="E6" s="243"/>
      <c r="F6" s="77" t="s">
        <v>6</v>
      </c>
      <c r="G6" s="78">
        <f>D48</f>
        <v>250</v>
      </c>
      <c r="H6" s="242" t="s">
        <v>5</v>
      </c>
      <c r="I6" s="243"/>
      <c r="J6" s="133" t="s">
        <v>73</v>
      </c>
      <c r="K6" s="244" t="s">
        <v>75</v>
      </c>
      <c r="L6" s="161"/>
      <c r="M6" s="7"/>
      <c r="N6" s="32"/>
      <c r="O6" s="33"/>
      <c r="P6" s="7"/>
      <c r="Q6" s="7"/>
      <c r="R6" s="7"/>
      <c r="S6" s="7"/>
      <c r="T6" s="246" t="s">
        <v>76</v>
      </c>
      <c r="U6" s="247"/>
    </row>
    <row r="7" spans="1:26" ht="16.5" thickBot="1" x14ac:dyDescent="0.3">
      <c r="A7" s="111" t="s">
        <v>70</v>
      </c>
      <c r="B7" s="11" t="s">
        <v>71</v>
      </c>
      <c r="C7" s="248" t="s">
        <v>72</v>
      </c>
      <c r="D7" s="249"/>
      <c r="E7" s="250"/>
      <c r="F7" s="11" t="s">
        <v>71</v>
      </c>
      <c r="G7" s="248" t="s">
        <v>72</v>
      </c>
      <c r="H7" s="249"/>
      <c r="I7" s="250"/>
      <c r="J7" s="134" t="s">
        <v>74</v>
      </c>
      <c r="K7" s="245"/>
      <c r="L7" s="42"/>
      <c r="M7" s="7"/>
      <c r="N7" s="26"/>
      <c r="O7" s="33"/>
      <c r="P7" s="7"/>
      <c r="Q7" s="7"/>
      <c r="R7" s="7"/>
      <c r="S7" s="7"/>
      <c r="T7" s="22" t="s">
        <v>35</v>
      </c>
      <c r="U7" s="25" t="s">
        <v>39</v>
      </c>
    </row>
    <row r="8" spans="1:26" ht="16.5" thickBot="1" x14ac:dyDescent="0.3">
      <c r="A8" s="112" t="s">
        <v>3</v>
      </c>
      <c r="B8" s="13" t="s">
        <v>68</v>
      </c>
      <c r="C8" s="14" t="s">
        <v>13</v>
      </c>
      <c r="D8" s="14" t="s">
        <v>5</v>
      </c>
      <c r="E8" s="15" t="s">
        <v>8</v>
      </c>
      <c r="F8" s="13" t="s">
        <v>68</v>
      </c>
      <c r="G8" s="14" t="s">
        <v>13</v>
      </c>
      <c r="H8" s="14" t="s">
        <v>5</v>
      </c>
      <c r="I8" s="15" t="s">
        <v>8</v>
      </c>
      <c r="J8" s="118" t="s">
        <v>3</v>
      </c>
      <c r="K8" s="12" t="s">
        <v>3</v>
      </c>
      <c r="L8" s="43"/>
      <c r="M8" s="7"/>
      <c r="N8" s="37"/>
      <c r="O8" s="33"/>
      <c r="P8" s="34"/>
      <c r="Q8" s="7"/>
      <c r="R8" s="7"/>
      <c r="S8" s="7"/>
      <c r="T8" s="165" t="s">
        <v>3</v>
      </c>
      <c r="U8" s="166" t="s">
        <v>5</v>
      </c>
    </row>
    <row r="9" spans="1:26" ht="17.25" hidden="1" customHeight="1" thickTop="1" thickBot="1" x14ac:dyDescent="0.3">
      <c r="A9" s="113" t="s">
        <v>70</v>
      </c>
      <c r="B9" s="46" t="s">
        <v>9</v>
      </c>
      <c r="C9" s="109" t="s">
        <v>10</v>
      </c>
      <c r="D9" s="253" t="s">
        <v>41</v>
      </c>
      <c r="E9" s="254"/>
      <c r="F9" s="46" t="s">
        <v>9</v>
      </c>
      <c r="G9" s="109" t="s">
        <v>10</v>
      </c>
      <c r="H9" s="255" t="s">
        <v>41</v>
      </c>
      <c r="I9" s="254"/>
      <c r="J9" s="119" t="s">
        <v>11</v>
      </c>
      <c r="K9" s="50" t="s">
        <v>12</v>
      </c>
      <c r="L9" s="51"/>
      <c r="M9" s="7"/>
      <c r="N9" s="38"/>
      <c r="O9" s="33"/>
      <c r="P9" s="34"/>
      <c r="Q9" s="7"/>
      <c r="R9" s="7"/>
      <c r="S9" s="7"/>
      <c r="T9" s="160" t="s">
        <v>38</v>
      </c>
      <c r="U9" s="160" t="s">
        <v>39</v>
      </c>
    </row>
    <row r="10" spans="1:26" ht="17.25" hidden="1" customHeight="1" thickTop="1" thickBot="1" x14ac:dyDescent="0.3">
      <c r="A10" s="114" t="s">
        <v>3</v>
      </c>
      <c r="B10" s="52" t="s">
        <v>1</v>
      </c>
      <c r="C10" s="53" t="s">
        <v>13</v>
      </c>
      <c r="D10" s="54" t="s">
        <v>5</v>
      </c>
      <c r="E10" s="55" t="s">
        <v>8</v>
      </c>
      <c r="F10" s="52" t="s">
        <v>1</v>
      </c>
      <c r="G10" s="53" t="s">
        <v>13</v>
      </c>
      <c r="H10" s="54" t="s">
        <v>5</v>
      </c>
      <c r="I10" s="132" t="s">
        <v>8</v>
      </c>
      <c r="J10" s="120" t="s">
        <v>3</v>
      </c>
      <c r="K10" s="57" t="s">
        <v>3</v>
      </c>
      <c r="L10" s="56"/>
      <c r="M10" s="7"/>
      <c r="N10" s="38"/>
      <c r="O10" s="33"/>
      <c r="P10" s="34"/>
      <c r="Q10" s="7"/>
      <c r="R10" s="7"/>
      <c r="S10" s="7"/>
      <c r="T10" s="48" t="s">
        <v>3</v>
      </c>
      <c r="U10" s="49" t="s">
        <v>5</v>
      </c>
    </row>
    <row r="11" spans="1:26" ht="16.5" thickTop="1" x14ac:dyDescent="0.25">
      <c r="A11" s="169" t="str">
        <f>IF(0.2&lt;H$48,"NA",0.2)</f>
        <v>NA</v>
      </c>
      <c r="B11" s="170" t="e">
        <f>IF((ROUND((IF($C$6*1000/(3.14*$A11)&gt;$B$3,$B$3,$C$6*1000/(3.14*$A11)))/1000,1)*1000)&lt;$B$4,$B$4,(ROUND((IF($C$6*1000/(3.14*$A11)&gt;$B$3,$B$3,$C$6*1000/(3.14*$A11)))/1000,1)*1000))</f>
        <v>#VALUE!</v>
      </c>
      <c r="C11" s="171" t="e">
        <f>P11</f>
        <v>#VALUE!</v>
      </c>
      <c r="D11" s="172" t="e">
        <f>+B11*C11/1000</f>
        <v>#VALUE!</v>
      </c>
      <c r="E11" s="173" t="e">
        <f>+D11*1000/25.4</f>
        <v>#VALUE!</v>
      </c>
      <c r="F11" s="170" t="e">
        <f>ROUND(IF(IF(($G$6*1000/(3.14*$A11))&gt;$B$3,$B$3,($G$6*1000/(3.14*$A11)))&lt;$B$4,$B$4,IF(($G$6*1000/(3.14*$A11))&gt;$B$3,$B$3,($G$6*1000/(3.14*$A11))))/1000,1)*1000</f>
        <v>#VALUE!</v>
      </c>
      <c r="G11" s="171" t="e">
        <f>P11*$H$1</f>
        <v>#VALUE!</v>
      </c>
      <c r="H11" s="172" t="e">
        <f>+F11*G11/1000</f>
        <v>#VALUE!</v>
      </c>
      <c r="I11" s="173" t="e">
        <f>+H11*1000/25.4</f>
        <v>#VALUE!</v>
      </c>
      <c r="J11" s="174" t="e">
        <f t="shared" ref="J11:J39" si="0">IF(A11*$G$48&gt;$F$48,$F$48,A11*$G$48)</f>
        <v>#VALUE!</v>
      </c>
      <c r="K11" s="175" t="e">
        <f t="shared" ref="K11:K39" si="1">IF((A11/2*1.08)&gt;1,1,(A11/2*1.08))</f>
        <v>#VALUE!</v>
      </c>
      <c r="L11" s="176"/>
      <c r="M11" s="7"/>
      <c r="N11" s="36"/>
      <c r="O11" s="99">
        <v>1E-3</v>
      </c>
      <c r="P11" s="99" t="e">
        <f t="shared" ref="P11:P39" si="2">IF(A11*(($F$3/100)+O11)&lt;0.001,0.001,(A11*(($F$3/100)+O11)))</f>
        <v>#VALUE!</v>
      </c>
      <c r="Q11" s="7"/>
      <c r="R11" s="7"/>
      <c r="S11" s="7"/>
      <c r="T11" s="177" t="e">
        <f>A11-0.1</f>
        <v>#VALUE!</v>
      </c>
      <c r="U11" s="178" t="e">
        <f>A11*0.03*B11/1000</f>
        <v>#VALUE!</v>
      </c>
    </row>
    <row r="12" spans="1:26" ht="16.5" thickBot="1" x14ac:dyDescent="0.3">
      <c r="A12" s="179" t="str">
        <f>IF(0.3&lt;H$48,"NA",0.3)</f>
        <v>NA</v>
      </c>
      <c r="B12" s="180" t="e">
        <f t="shared" ref="B12:B39" si="3">IF((ROUND((IF($C$6*1000/(3.14*$A12)&gt;$B$3,$B$3,$C$6*1000/(3.14*$A12)))/1000,1)*1000)&lt;$B$4,$B$4,(ROUND((IF($C$6*1000/(3.14*$A12)&gt;$B$3,$B$3,$C$6*1000/(3.14*$A12)))/1000,1)*1000))</f>
        <v>#VALUE!</v>
      </c>
      <c r="C12" s="181" t="e">
        <f t="shared" ref="C12:C39" si="4">P12</f>
        <v>#VALUE!</v>
      </c>
      <c r="D12" s="182" t="e">
        <f t="shared" ref="D12:D39" si="5">+B12*C12/1000</f>
        <v>#VALUE!</v>
      </c>
      <c r="E12" s="183" t="e">
        <f t="shared" ref="E12:E39" si="6">+D12*1000/25.4</f>
        <v>#VALUE!</v>
      </c>
      <c r="F12" s="180" t="e">
        <f t="shared" ref="F12:F39" si="7">ROUND(IF(IF(($G$6*1000/(3.14*$A12))&gt;$B$3,$B$3,($G$6*1000/(3.14*$A12)))&lt;$B$4,$B$4,IF(($G$6*1000/(3.14*$A12))&gt;$B$3,$B$3,($G$6*1000/(3.14*$A12))))/1000,1)*1000</f>
        <v>#VALUE!</v>
      </c>
      <c r="G12" s="181" t="e">
        <f t="shared" ref="G12:G39" si="8">P12*$H$1</f>
        <v>#VALUE!</v>
      </c>
      <c r="H12" s="182" t="e">
        <f t="shared" ref="H12:H39" si="9">+F12*G12/1000</f>
        <v>#VALUE!</v>
      </c>
      <c r="I12" s="183" t="e">
        <f t="shared" ref="I12:I39" si="10">+H12*1000/25.4</f>
        <v>#VALUE!</v>
      </c>
      <c r="J12" s="184" t="e">
        <f t="shared" si="0"/>
        <v>#VALUE!</v>
      </c>
      <c r="K12" s="185" t="e">
        <f t="shared" si="1"/>
        <v>#VALUE!</v>
      </c>
      <c r="L12" s="186"/>
      <c r="M12" s="7"/>
      <c r="N12" s="36"/>
      <c r="O12" s="99">
        <f>O11+0.0002</f>
        <v>1.2000000000000001E-3</v>
      </c>
      <c r="P12" s="99" t="e">
        <f t="shared" si="2"/>
        <v>#VALUE!</v>
      </c>
      <c r="Q12" s="7"/>
      <c r="R12" s="7"/>
      <c r="S12" s="7"/>
      <c r="T12" s="187" t="e">
        <f t="shared" ref="T12:T15" si="11">A12-0.1</f>
        <v>#VALUE!</v>
      </c>
      <c r="U12" s="188" t="e">
        <f t="shared" ref="U12:U16" si="12">A12*0.03*B12/1000</f>
        <v>#VALUE!</v>
      </c>
      <c r="X12" s="106" t="s">
        <v>2</v>
      </c>
      <c r="Y12" t="s">
        <v>46</v>
      </c>
    </row>
    <row r="13" spans="1:26" x14ac:dyDescent="0.25">
      <c r="A13" s="189" t="str">
        <f>IF(0.4&lt;H$48,"NA",0.4)</f>
        <v>NA</v>
      </c>
      <c r="B13" s="190" t="e">
        <f t="shared" si="3"/>
        <v>#VALUE!</v>
      </c>
      <c r="C13" s="191" t="e">
        <f t="shared" si="4"/>
        <v>#VALUE!</v>
      </c>
      <c r="D13" s="192" t="e">
        <f t="shared" si="5"/>
        <v>#VALUE!</v>
      </c>
      <c r="E13" s="193" t="e">
        <f t="shared" si="6"/>
        <v>#VALUE!</v>
      </c>
      <c r="F13" s="190" t="e">
        <f t="shared" si="7"/>
        <v>#VALUE!</v>
      </c>
      <c r="G13" s="191" t="e">
        <f t="shared" si="8"/>
        <v>#VALUE!</v>
      </c>
      <c r="H13" s="192" t="e">
        <f t="shared" si="9"/>
        <v>#VALUE!</v>
      </c>
      <c r="I13" s="193" t="e">
        <f t="shared" si="10"/>
        <v>#VALUE!</v>
      </c>
      <c r="J13" s="194" t="e">
        <f t="shared" si="0"/>
        <v>#VALUE!</v>
      </c>
      <c r="K13" s="195" t="e">
        <f t="shared" si="1"/>
        <v>#VALUE!</v>
      </c>
      <c r="L13" s="176"/>
      <c r="M13" s="7"/>
      <c r="N13" s="36"/>
      <c r="O13" s="99">
        <f t="shared" ref="O13:O23" si="13">O12+0.0002</f>
        <v>1.4000000000000002E-3</v>
      </c>
      <c r="P13" s="99" t="e">
        <f t="shared" si="2"/>
        <v>#VALUE!</v>
      </c>
      <c r="Q13" s="7"/>
      <c r="R13" s="7"/>
      <c r="S13" s="7"/>
      <c r="T13" s="177" t="e">
        <f t="shared" si="11"/>
        <v>#VALUE!</v>
      </c>
      <c r="U13" s="178" t="e">
        <f t="shared" si="12"/>
        <v>#VALUE!</v>
      </c>
      <c r="X13" s="200" t="s">
        <v>40</v>
      </c>
      <c r="Y13" s="201">
        <v>1</v>
      </c>
    </row>
    <row r="14" spans="1:26" x14ac:dyDescent="0.25">
      <c r="A14" s="179" t="str">
        <f>IF(0.5&lt;H$48,"NA",0.5)</f>
        <v>NA</v>
      </c>
      <c r="B14" s="180" t="e">
        <f t="shared" si="3"/>
        <v>#VALUE!</v>
      </c>
      <c r="C14" s="181" t="e">
        <f t="shared" si="4"/>
        <v>#VALUE!</v>
      </c>
      <c r="D14" s="182" t="e">
        <f t="shared" si="5"/>
        <v>#VALUE!</v>
      </c>
      <c r="E14" s="183" t="e">
        <f t="shared" si="6"/>
        <v>#VALUE!</v>
      </c>
      <c r="F14" s="180" t="e">
        <f t="shared" si="7"/>
        <v>#VALUE!</v>
      </c>
      <c r="G14" s="181" t="e">
        <f t="shared" si="8"/>
        <v>#VALUE!</v>
      </c>
      <c r="H14" s="182" t="e">
        <f t="shared" si="9"/>
        <v>#VALUE!</v>
      </c>
      <c r="I14" s="183" t="e">
        <f t="shared" si="10"/>
        <v>#VALUE!</v>
      </c>
      <c r="J14" s="184" t="e">
        <f t="shared" si="0"/>
        <v>#VALUE!</v>
      </c>
      <c r="K14" s="185" t="e">
        <f t="shared" si="1"/>
        <v>#VALUE!</v>
      </c>
      <c r="L14" s="186"/>
      <c r="M14" s="7"/>
      <c r="N14" s="36"/>
      <c r="O14" s="99">
        <f t="shared" si="13"/>
        <v>1.6000000000000003E-3</v>
      </c>
      <c r="P14" s="99" t="e">
        <f t="shared" si="2"/>
        <v>#VALUE!</v>
      </c>
      <c r="Q14" s="7"/>
      <c r="R14" s="7"/>
      <c r="S14" s="7"/>
      <c r="T14" s="187" t="e">
        <f t="shared" si="11"/>
        <v>#VALUE!</v>
      </c>
      <c r="U14" s="188" t="e">
        <f t="shared" si="12"/>
        <v>#VALUE!</v>
      </c>
      <c r="X14" s="202" t="s">
        <v>36</v>
      </c>
      <c r="Y14" s="203">
        <v>2</v>
      </c>
    </row>
    <row r="15" spans="1:26" x14ac:dyDescent="0.25">
      <c r="A15" s="189" t="str">
        <f>IF(0.6&lt;H$48,"NA",0.6)</f>
        <v>NA</v>
      </c>
      <c r="B15" s="190" t="e">
        <f t="shared" si="3"/>
        <v>#VALUE!</v>
      </c>
      <c r="C15" s="191" t="e">
        <f t="shared" si="4"/>
        <v>#VALUE!</v>
      </c>
      <c r="D15" s="192" t="e">
        <f t="shared" si="5"/>
        <v>#VALUE!</v>
      </c>
      <c r="E15" s="193" t="e">
        <f t="shared" si="6"/>
        <v>#VALUE!</v>
      </c>
      <c r="F15" s="190" t="e">
        <f t="shared" si="7"/>
        <v>#VALUE!</v>
      </c>
      <c r="G15" s="191" t="e">
        <f t="shared" si="8"/>
        <v>#VALUE!</v>
      </c>
      <c r="H15" s="192" t="e">
        <f t="shared" si="9"/>
        <v>#VALUE!</v>
      </c>
      <c r="I15" s="193" t="e">
        <f t="shared" si="10"/>
        <v>#VALUE!</v>
      </c>
      <c r="J15" s="194" t="e">
        <f t="shared" si="0"/>
        <v>#VALUE!</v>
      </c>
      <c r="K15" s="195" t="e">
        <f t="shared" si="1"/>
        <v>#VALUE!</v>
      </c>
      <c r="L15" s="176"/>
      <c r="M15" s="7"/>
      <c r="N15" s="36"/>
      <c r="O15" s="99">
        <f t="shared" si="13"/>
        <v>1.8000000000000004E-3</v>
      </c>
      <c r="P15" s="99" t="e">
        <f t="shared" si="2"/>
        <v>#VALUE!</v>
      </c>
      <c r="Q15" s="7"/>
      <c r="R15" s="7"/>
      <c r="S15" s="7"/>
      <c r="T15" s="177" t="e">
        <f t="shared" si="11"/>
        <v>#VALUE!</v>
      </c>
      <c r="U15" s="178" t="e">
        <f t="shared" si="12"/>
        <v>#VALUE!</v>
      </c>
      <c r="X15" s="202" t="s">
        <v>37</v>
      </c>
      <c r="Y15" s="203">
        <v>3</v>
      </c>
    </row>
    <row r="16" spans="1:26" x14ac:dyDescent="0.25">
      <c r="A16" s="179" t="str">
        <f>IF(0.7&lt;H$48,"NA",0.7)</f>
        <v>NA</v>
      </c>
      <c r="B16" s="180" t="e">
        <f t="shared" si="3"/>
        <v>#VALUE!</v>
      </c>
      <c r="C16" s="181" t="e">
        <f t="shared" si="4"/>
        <v>#VALUE!</v>
      </c>
      <c r="D16" s="182" t="e">
        <f t="shared" si="5"/>
        <v>#VALUE!</v>
      </c>
      <c r="E16" s="183" t="e">
        <f t="shared" si="6"/>
        <v>#VALUE!</v>
      </c>
      <c r="F16" s="180" t="e">
        <f t="shared" si="7"/>
        <v>#VALUE!</v>
      </c>
      <c r="G16" s="181" t="e">
        <f t="shared" si="8"/>
        <v>#VALUE!</v>
      </c>
      <c r="H16" s="182" t="e">
        <f t="shared" si="9"/>
        <v>#VALUE!</v>
      </c>
      <c r="I16" s="183" t="e">
        <f t="shared" si="10"/>
        <v>#VALUE!</v>
      </c>
      <c r="J16" s="184" t="e">
        <f t="shared" si="0"/>
        <v>#VALUE!</v>
      </c>
      <c r="K16" s="185" t="e">
        <f t="shared" si="1"/>
        <v>#VALUE!</v>
      </c>
      <c r="L16" s="186"/>
      <c r="M16" s="7"/>
      <c r="N16" s="36"/>
      <c r="O16" s="99">
        <f t="shared" si="13"/>
        <v>2.0000000000000005E-3</v>
      </c>
      <c r="P16" s="99" t="e">
        <f t="shared" si="2"/>
        <v>#VALUE!</v>
      </c>
      <c r="Q16" s="7"/>
      <c r="R16" s="7"/>
      <c r="S16" s="7"/>
      <c r="T16" s="187" t="e">
        <f>A16-0.2</f>
        <v>#VALUE!</v>
      </c>
      <c r="U16" s="188" t="e">
        <f t="shared" si="12"/>
        <v>#VALUE!</v>
      </c>
      <c r="X16" s="202" t="s">
        <v>21</v>
      </c>
      <c r="Y16" s="203">
        <v>4</v>
      </c>
    </row>
    <row r="17" spans="1:25" x14ac:dyDescent="0.25">
      <c r="A17" s="137">
        <f>IF(0.8&lt;H$48,"NA",0.8)</f>
        <v>0.8</v>
      </c>
      <c r="B17" s="128">
        <f t="shared" si="3"/>
        <v>60000</v>
      </c>
      <c r="C17" s="61">
        <f t="shared" si="4"/>
        <v>5.7600000000000012E-3</v>
      </c>
      <c r="D17" s="62">
        <f t="shared" si="5"/>
        <v>0.34560000000000007</v>
      </c>
      <c r="E17" s="16">
        <f t="shared" si="6"/>
        <v>13.606299212598429</v>
      </c>
      <c r="F17" s="128">
        <f t="shared" si="7"/>
        <v>60000</v>
      </c>
      <c r="G17" s="61">
        <f t="shared" si="8"/>
        <v>6.3360000000000022E-3</v>
      </c>
      <c r="H17" s="62">
        <f t="shared" si="9"/>
        <v>0.38016000000000016</v>
      </c>
      <c r="I17" s="16">
        <f t="shared" si="10"/>
        <v>14.966929133858274</v>
      </c>
      <c r="J17" s="123">
        <f t="shared" si="0"/>
        <v>1.6</v>
      </c>
      <c r="K17" s="104">
        <f t="shared" si="1"/>
        <v>0.43200000000000005</v>
      </c>
      <c r="L17" s="44"/>
      <c r="M17" s="7"/>
      <c r="N17" s="36"/>
      <c r="O17" s="99">
        <f t="shared" si="13"/>
        <v>2.2000000000000006E-3</v>
      </c>
      <c r="P17" s="99">
        <f t="shared" si="2"/>
        <v>5.7600000000000012E-3</v>
      </c>
      <c r="Q17" s="7"/>
      <c r="R17" s="7"/>
      <c r="S17" s="7"/>
      <c r="T17" s="47">
        <f t="shared" ref="T17:T39" si="14">A17-0.2</f>
        <v>0.60000000000000009</v>
      </c>
      <c r="U17" s="162">
        <f>A17*0.02*B17/1000</f>
        <v>0.96</v>
      </c>
      <c r="X17" s="202" t="s">
        <v>22</v>
      </c>
      <c r="Y17" s="203">
        <v>5</v>
      </c>
    </row>
    <row r="18" spans="1:25" x14ac:dyDescent="0.25">
      <c r="A18" s="138">
        <f>IF(0.9&lt;H$48,"NA",0.9)</f>
        <v>0.9</v>
      </c>
      <c r="B18" s="126">
        <f t="shared" si="3"/>
        <v>60000</v>
      </c>
      <c r="C18" s="101">
        <f t="shared" si="4"/>
        <v>6.6600000000000001E-3</v>
      </c>
      <c r="D18" s="102">
        <f t="shared" si="5"/>
        <v>0.39960000000000001</v>
      </c>
      <c r="E18" s="127">
        <f t="shared" si="6"/>
        <v>15.732283464566931</v>
      </c>
      <c r="F18" s="126">
        <f t="shared" si="7"/>
        <v>60000</v>
      </c>
      <c r="G18" s="101">
        <f t="shared" si="8"/>
        <v>7.3260000000000009E-3</v>
      </c>
      <c r="H18" s="102">
        <f t="shared" si="9"/>
        <v>0.43956000000000006</v>
      </c>
      <c r="I18" s="127">
        <f t="shared" si="10"/>
        <v>17.305511811023624</v>
      </c>
      <c r="J18" s="122">
        <f t="shared" si="0"/>
        <v>1.8</v>
      </c>
      <c r="K18" s="103">
        <f t="shared" si="1"/>
        <v>0.48600000000000004</v>
      </c>
      <c r="L18" s="96"/>
      <c r="M18" s="7"/>
      <c r="N18" s="36"/>
      <c r="O18" s="99">
        <f t="shared" si="13"/>
        <v>2.4000000000000007E-3</v>
      </c>
      <c r="P18" s="99">
        <f t="shared" si="2"/>
        <v>6.6600000000000001E-3</v>
      </c>
      <c r="Q18" s="7"/>
      <c r="R18" s="7"/>
      <c r="S18" s="7"/>
      <c r="T18" s="159">
        <f t="shared" si="14"/>
        <v>0.7</v>
      </c>
      <c r="U18" s="164">
        <f t="shared" ref="U18:U39" si="15">A18*0.02*B18/1000</f>
        <v>1.0800000000000003</v>
      </c>
      <c r="X18" s="202" t="s">
        <v>23</v>
      </c>
      <c r="Y18" s="203">
        <v>6</v>
      </c>
    </row>
    <row r="19" spans="1:25" x14ac:dyDescent="0.25">
      <c r="A19" s="137">
        <f>IF(1&lt;H$48,"NA",1)</f>
        <v>1</v>
      </c>
      <c r="B19" s="128">
        <f t="shared" si="3"/>
        <v>60000</v>
      </c>
      <c r="C19" s="61">
        <f t="shared" si="4"/>
        <v>7.6000000000000009E-3</v>
      </c>
      <c r="D19" s="62">
        <f t="shared" si="5"/>
        <v>0.45600000000000007</v>
      </c>
      <c r="E19" s="16">
        <f t="shared" si="6"/>
        <v>17.952755905511815</v>
      </c>
      <c r="F19" s="128">
        <f t="shared" si="7"/>
        <v>60000</v>
      </c>
      <c r="G19" s="61">
        <f t="shared" si="8"/>
        <v>8.3600000000000011E-3</v>
      </c>
      <c r="H19" s="62">
        <f t="shared" si="9"/>
        <v>0.50160000000000005</v>
      </c>
      <c r="I19" s="16">
        <f t="shared" si="10"/>
        <v>19.748031496062993</v>
      </c>
      <c r="J19" s="123">
        <f t="shared" si="0"/>
        <v>2</v>
      </c>
      <c r="K19" s="104">
        <f t="shared" si="1"/>
        <v>0.54</v>
      </c>
      <c r="L19" s="44"/>
      <c r="M19" s="7"/>
      <c r="N19" s="36"/>
      <c r="O19" s="99">
        <f t="shared" si="13"/>
        <v>2.6000000000000007E-3</v>
      </c>
      <c r="P19" s="99">
        <f t="shared" si="2"/>
        <v>7.6000000000000009E-3</v>
      </c>
      <c r="Q19" s="7"/>
      <c r="R19" s="7"/>
      <c r="S19" s="7"/>
      <c r="T19" s="47">
        <f t="shared" si="14"/>
        <v>0.8</v>
      </c>
      <c r="U19" s="162">
        <f t="shared" si="15"/>
        <v>1.2</v>
      </c>
      <c r="X19" s="204"/>
      <c r="Y19" s="203">
        <v>7</v>
      </c>
    </row>
    <row r="20" spans="1:25" x14ac:dyDescent="0.25">
      <c r="A20" s="138">
        <f>IF(1.1&lt;H$48,"NA",1.1)</f>
        <v>1.1000000000000001</v>
      </c>
      <c r="B20" s="126">
        <f t="shared" si="3"/>
        <v>57900</v>
      </c>
      <c r="C20" s="101">
        <f t="shared" si="4"/>
        <v>8.5800000000000026E-3</v>
      </c>
      <c r="D20" s="102">
        <f t="shared" si="5"/>
        <v>0.49678200000000017</v>
      </c>
      <c r="E20" s="127">
        <f t="shared" si="6"/>
        <v>19.55834645669292</v>
      </c>
      <c r="F20" s="126">
        <f t="shared" si="7"/>
        <v>60000</v>
      </c>
      <c r="G20" s="101">
        <f t="shared" si="8"/>
        <v>9.4380000000000037E-3</v>
      </c>
      <c r="H20" s="102">
        <f t="shared" si="9"/>
        <v>0.56628000000000023</v>
      </c>
      <c r="I20" s="127">
        <f t="shared" si="10"/>
        <v>22.294488188976388</v>
      </c>
      <c r="J20" s="122">
        <f t="shared" si="0"/>
        <v>2.2000000000000002</v>
      </c>
      <c r="K20" s="103">
        <f t="shared" si="1"/>
        <v>0.59400000000000008</v>
      </c>
      <c r="L20" s="96"/>
      <c r="M20" s="7"/>
      <c r="N20" s="36"/>
      <c r="O20" s="99">
        <f t="shared" si="13"/>
        <v>2.8000000000000008E-3</v>
      </c>
      <c r="P20" s="99">
        <f t="shared" si="2"/>
        <v>8.5800000000000026E-3</v>
      </c>
      <c r="Q20" s="7"/>
      <c r="R20" s="8"/>
      <c r="S20" s="7"/>
      <c r="T20" s="159">
        <f t="shared" si="14"/>
        <v>0.90000000000000013</v>
      </c>
      <c r="U20" s="164">
        <f t="shared" si="15"/>
        <v>1.2738000000000003</v>
      </c>
      <c r="X20" s="204"/>
      <c r="Y20" s="203">
        <v>8</v>
      </c>
    </row>
    <row r="21" spans="1:25" x14ac:dyDescent="0.25">
      <c r="A21" s="140">
        <f>IF(1.2&lt;H$48,"NA",1.2)</f>
        <v>1.2</v>
      </c>
      <c r="B21" s="128">
        <f t="shared" si="3"/>
        <v>53100</v>
      </c>
      <c r="C21" s="61">
        <f t="shared" si="4"/>
        <v>9.5999999999999992E-3</v>
      </c>
      <c r="D21" s="62">
        <f t="shared" si="5"/>
        <v>0.50975999999999988</v>
      </c>
      <c r="E21" s="16">
        <f t="shared" si="6"/>
        <v>20.069291338582673</v>
      </c>
      <c r="F21" s="128">
        <f t="shared" si="7"/>
        <v>60000</v>
      </c>
      <c r="G21" s="61">
        <f t="shared" si="8"/>
        <v>1.056E-2</v>
      </c>
      <c r="H21" s="62">
        <f t="shared" si="9"/>
        <v>0.63360000000000005</v>
      </c>
      <c r="I21" s="16">
        <f t="shared" si="10"/>
        <v>24.944881889763781</v>
      </c>
      <c r="J21" s="123">
        <f t="shared" si="0"/>
        <v>2.4</v>
      </c>
      <c r="K21" s="104">
        <f t="shared" si="1"/>
        <v>0.64800000000000002</v>
      </c>
      <c r="L21" s="44"/>
      <c r="M21" s="7"/>
      <c r="N21" s="36"/>
      <c r="O21" s="99">
        <f t="shared" si="13"/>
        <v>3.0000000000000009E-3</v>
      </c>
      <c r="P21" s="99">
        <f t="shared" si="2"/>
        <v>9.5999999999999992E-3</v>
      </c>
      <c r="Q21" s="7"/>
      <c r="R21" s="8"/>
      <c r="S21" s="7"/>
      <c r="T21" s="47">
        <f t="shared" si="14"/>
        <v>1</v>
      </c>
      <c r="U21" s="162">
        <f t="shared" si="15"/>
        <v>1.2744000000000002</v>
      </c>
      <c r="X21" s="205"/>
      <c r="Y21" s="203">
        <v>9</v>
      </c>
    </row>
    <row r="22" spans="1:25" x14ac:dyDescent="0.25">
      <c r="A22" s="138">
        <f>IF(1.3&lt;H$48,"NA",1.3)</f>
        <v>1.3</v>
      </c>
      <c r="B22" s="126">
        <f t="shared" si="3"/>
        <v>49000</v>
      </c>
      <c r="C22" s="101">
        <f t="shared" si="4"/>
        <v>1.0660000000000001E-2</v>
      </c>
      <c r="D22" s="102">
        <f t="shared" si="5"/>
        <v>0.52234000000000003</v>
      </c>
      <c r="E22" s="127">
        <f t="shared" si="6"/>
        <v>20.564566929133861</v>
      </c>
      <c r="F22" s="126">
        <f t="shared" si="7"/>
        <v>60000</v>
      </c>
      <c r="G22" s="101">
        <f t="shared" si="8"/>
        <v>1.1726000000000002E-2</v>
      </c>
      <c r="H22" s="102">
        <f t="shared" si="9"/>
        <v>0.70356000000000019</v>
      </c>
      <c r="I22" s="127">
        <f t="shared" si="10"/>
        <v>27.699212598425206</v>
      </c>
      <c r="J22" s="122">
        <f t="shared" si="0"/>
        <v>2.6</v>
      </c>
      <c r="K22" s="103">
        <f t="shared" si="1"/>
        <v>0.70200000000000007</v>
      </c>
      <c r="L22" s="96"/>
      <c r="M22" s="7"/>
      <c r="N22" s="36"/>
      <c r="O22" s="99">
        <f t="shared" si="13"/>
        <v>3.200000000000001E-3</v>
      </c>
      <c r="P22" s="99">
        <f t="shared" si="2"/>
        <v>1.0660000000000001E-2</v>
      </c>
      <c r="Q22" s="7"/>
      <c r="R22" s="7"/>
      <c r="S22" s="7"/>
      <c r="T22" s="159">
        <f t="shared" si="14"/>
        <v>1.1000000000000001</v>
      </c>
      <c r="U22" s="164">
        <f t="shared" si="15"/>
        <v>1.274</v>
      </c>
      <c r="X22" s="205"/>
      <c r="Y22" s="203">
        <v>10</v>
      </c>
    </row>
    <row r="23" spans="1:25" x14ac:dyDescent="0.25">
      <c r="A23" s="140">
        <f>IF(1.4&lt;H$48,"NA",1.4)</f>
        <v>1.4</v>
      </c>
      <c r="B23" s="128">
        <f t="shared" si="3"/>
        <v>45500</v>
      </c>
      <c r="C23" s="61">
        <f t="shared" si="4"/>
        <v>1.1760000000000001E-2</v>
      </c>
      <c r="D23" s="62">
        <f t="shared" si="5"/>
        <v>0.53508</v>
      </c>
      <c r="E23" s="16">
        <f t="shared" si="6"/>
        <v>21.066141732283466</v>
      </c>
      <c r="F23" s="128">
        <f t="shared" si="7"/>
        <v>56900</v>
      </c>
      <c r="G23" s="61">
        <f t="shared" si="8"/>
        <v>1.2936000000000003E-2</v>
      </c>
      <c r="H23" s="62">
        <f t="shared" si="9"/>
        <v>0.73605840000000011</v>
      </c>
      <c r="I23" s="16">
        <f t="shared" si="10"/>
        <v>28.978677165354338</v>
      </c>
      <c r="J23" s="123">
        <f t="shared" si="0"/>
        <v>2.8</v>
      </c>
      <c r="K23" s="104">
        <f t="shared" si="1"/>
        <v>0.75600000000000001</v>
      </c>
      <c r="L23" s="44"/>
      <c r="M23" s="7"/>
      <c r="N23" s="36"/>
      <c r="O23" s="99">
        <f t="shared" si="13"/>
        <v>3.4000000000000011E-3</v>
      </c>
      <c r="P23" s="99">
        <f t="shared" si="2"/>
        <v>1.1760000000000001E-2</v>
      </c>
      <c r="Q23" s="7"/>
      <c r="R23" s="7"/>
      <c r="S23" s="7"/>
      <c r="T23" s="47">
        <f t="shared" si="14"/>
        <v>1.2</v>
      </c>
      <c r="U23" s="162">
        <f t="shared" si="15"/>
        <v>1.2739999999999998</v>
      </c>
      <c r="X23" s="205"/>
      <c r="Y23" s="203">
        <v>11</v>
      </c>
    </row>
    <row r="24" spans="1:25" x14ac:dyDescent="0.25">
      <c r="A24" s="138">
        <f>IF(1.5&lt;H$48,"NA",1.5)</f>
        <v>1.5</v>
      </c>
      <c r="B24" s="126">
        <f t="shared" si="3"/>
        <v>42500</v>
      </c>
      <c r="C24" s="101">
        <f t="shared" si="4"/>
        <v>1.3125000000000001E-2</v>
      </c>
      <c r="D24" s="102">
        <f t="shared" si="5"/>
        <v>0.55781250000000004</v>
      </c>
      <c r="E24" s="127">
        <f t="shared" si="6"/>
        <v>21.961122047244096</v>
      </c>
      <c r="F24" s="126">
        <f t="shared" si="7"/>
        <v>53100</v>
      </c>
      <c r="G24" s="101">
        <f t="shared" si="8"/>
        <v>1.4437500000000002E-2</v>
      </c>
      <c r="H24" s="102">
        <f t="shared" si="9"/>
        <v>0.7666312500000001</v>
      </c>
      <c r="I24" s="127">
        <f t="shared" si="10"/>
        <v>30.182332677165363</v>
      </c>
      <c r="J24" s="122">
        <f t="shared" si="0"/>
        <v>3</v>
      </c>
      <c r="K24" s="103">
        <f t="shared" si="1"/>
        <v>0.81</v>
      </c>
      <c r="L24" s="96"/>
      <c r="M24" s="7"/>
      <c r="N24" s="36"/>
      <c r="O24" s="99">
        <f>O23+0.00035</f>
        <v>3.7500000000000012E-3</v>
      </c>
      <c r="P24" s="99">
        <f t="shared" si="2"/>
        <v>1.3125000000000001E-2</v>
      </c>
      <c r="Q24" s="7"/>
      <c r="R24" s="7"/>
      <c r="S24" s="7"/>
      <c r="T24" s="159">
        <f t="shared" si="14"/>
        <v>1.3</v>
      </c>
      <c r="U24" s="164">
        <f t="shared" si="15"/>
        <v>1.2749999999999999</v>
      </c>
      <c r="X24" s="205"/>
      <c r="Y24" s="203">
        <v>12</v>
      </c>
    </row>
    <row r="25" spans="1:25" ht="16.5" thickBot="1" x14ac:dyDescent="0.3">
      <c r="A25" s="116">
        <v>1.6</v>
      </c>
      <c r="B25" s="128">
        <f t="shared" si="3"/>
        <v>39800</v>
      </c>
      <c r="C25" s="61">
        <f t="shared" si="4"/>
        <v>1.4560000000000002E-2</v>
      </c>
      <c r="D25" s="62">
        <f t="shared" si="5"/>
        <v>0.579488</v>
      </c>
      <c r="E25" s="16">
        <f t="shared" si="6"/>
        <v>22.81448818897638</v>
      </c>
      <c r="F25" s="128">
        <f t="shared" si="7"/>
        <v>49800</v>
      </c>
      <c r="G25" s="61">
        <f t="shared" si="8"/>
        <v>1.6016000000000002E-2</v>
      </c>
      <c r="H25" s="62">
        <f t="shared" si="9"/>
        <v>0.79759680000000011</v>
      </c>
      <c r="I25" s="16">
        <f t="shared" si="10"/>
        <v>31.401448818897645</v>
      </c>
      <c r="J25" s="123">
        <f t="shared" si="0"/>
        <v>3</v>
      </c>
      <c r="K25" s="104">
        <f t="shared" si="1"/>
        <v>0.8640000000000001</v>
      </c>
      <c r="L25" s="44"/>
      <c r="M25" s="7"/>
      <c r="N25" s="36"/>
      <c r="O25" s="99">
        <f t="shared" ref="O25:O39" si="16">O24+0.00035</f>
        <v>4.1000000000000012E-3</v>
      </c>
      <c r="P25" s="99">
        <f t="shared" si="2"/>
        <v>1.4560000000000002E-2</v>
      </c>
      <c r="Q25" s="7"/>
      <c r="R25" s="7"/>
      <c r="S25" s="7"/>
      <c r="T25" s="47">
        <f t="shared" si="14"/>
        <v>1.4000000000000001</v>
      </c>
      <c r="U25" s="162">
        <f t="shared" si="15"/>
        <v>1.2736000000000001</v>
      </c>
      <c r="X25" s="206"/>
      <c r="Y25" s="207">
        <v>13</v>
      </c>
    </row>
    <row r="26" spans="1:25" x14ac:dyDescent="0.25">
      <c r="A26" s="115">
        <v>1.7</v>
      </c>
      <c r="B26" s="126">
        <f t="shared" si="3"/>
        <v>37500</v>
      </c>
      <c r="C26" s="101">
        <f t="shared" si="4"/>
        <v>1.6064999999999999E-2</v>
      </c>
      <c r="D26" s="102">
        <f t="shared" si="5"/>
        <v>0.60243749999999996</v>
      </c>
      <c r="E26" s="127">
        <f t="shared" si="6"/>
        <v>23.718011811023622</v>
      </c>
      <c r="F26" s="126">
        <f t="shared" si="7"/>
        <v>46800</v>
      </c>
      <c r="G26" s="101">
        <f t="shared" si="8"/>
        <v>1.76715E-2</v>
      </c>
      <c r="H26" s="102">
        <f t="shared" si="9"/>
        <v>0.82702620000000004</v>
      </c>
      <c r="I26" s="127">
        <f t="shared" si="10"/>
        <v>32.56008661417323</v>
      </c>
      <c r="J26" s="122">
        <f t="shared" si="0"/>
        <v>3</v>
      </c>
      <c r="K26" s="103">
        <f t="shared" si="1"/>
        <v>0.91800000000000004</v>
      </c>
      <c r="L26" s="96"/>
      <c r="M26" s="7"/>
      <c r="N26" s="36"/>
      <c r="O26" s="99">
        <f t="shared" si="16"/>
        <v>4.4500000000000008E-3</v>
      </c>
      <c r="P26" s="99">
        <f t="shared" si="2"/>
        <v>1.6064999999999999E-2</v>
      </c>
      <c r="Q26" s="7"/>
      <c r="R26" s="7"/>
      <c r="S26" s="7"/>
      <c r="T26" s="159">
        <f t="shared" si="14"/>
        <v>1.5</v>
      </c>
      <c r="U26" s="164">
        <f t="shared" si="15"/>
        <v>1.2749999999999999</v>
      </c>
      <c r="X26"/>
    </row>
    <row r="27" spans="1:25" x14ac:dyDescent="0.25">
      <c r="A27" s="116">
        <v>1.8</v>
      </c>
      <c r="B27" s="128">
        <f t="shared" si="3"/>
        <v>35400</v>
      </c>
      <c r="C27" s="61">
        <f t="shared" si="4"/>
        <v>1.7639999999999999E-2</v>
      </c>
      <c r="D27" s="62">
        <f t="shared" si="5"/>
        <v>0.62445600000000001</v>
      </c>
      <c r="E27" s="16">
        <f t="shared" si="6"/>
        <v>24.584881889763782</v>
      </c>
      <c r="F27" s="128">
        <f t="shared" si="7"/>
        <v>44200</v>
      </c>
      <c r="G27" s="61">
        <f t="shared" si="8"/>
        <v>1.9404000000000001E-2</v>
      </c>
      <c r="H27" s="62">
        <f t="shared" si="9"/>
        <v>0.85765680000000011</v>
      </c>
      <c r="I27" s="16">
        <f t="shared" si="10"/>
        <v>33.766015748031499</v>
      </c>
      <c r="J27" s="123">
        <f t="shared" si="0"/>
        <v>3</v>
      </c>
      <c r="K27" s="104">
        <f t="shared" si="1"/>
        <v>0.97200000000000009</v>
      </c>
      <c r="L27" s="44"/>
      <c r="M27" s="7"/>
      <c r="N27" s="36"/>
      <c r="O27" s="99">
        <f t="shared" si="16"/>
        <v>4.8000000000000004E-3</v>
      </c>
      <c r="P27" s="99">
        <f t="shared" si="2"/>
        <v>1.7639999999999999E-2</v>
      </c>
      <c r="Q27" s="7"/>
      <c r="R27" s="7"/>
      <c r="S27" s="7"/>
      <c r="T27" s="47">
        <f t="shared" si="14"/>
        <v>1.6</v>
      </c>
      <c r="U27" s="162">
        <f t="shared" si="15"/>
        <v>1.2744000000000002</v>
      </c>
      <c r="X27"/>
    </row>
    <row r="28" spans="1:25" x14ac:dyDescent="0.25">
      <c r="A28" s="115">
        <v>1.9</v>
      </c>
      <c r="B28" s="126">
        <f t="shared" si="3"/>
        <v>33500</v>
      </c>
      <c r="C28" s="101">
        <f t="shared" si="4"/>
        <v>1.9284999999999997E-2</v>
      </c>
      <c r="D28" s="102">
        <f t="shared" si="5"/>
        <v>0.64604749999999989</v>
      </c>
      <c r="E28" s="127">
        <f t="shared" si="6"/>
        <v>25.434940944881888</v>
      </c>
      <c r="F28" s="126">
        <f t="shared" si="7"/>
        <v>41900</v>
      </c>
      <c r="G28" s="101">
        <f t="shared" si="8"/>
        <v>2.1213499999999996E-2</v>
      </c>
      <c r="H28" s="102">
        <f t="shared" si="9"/>
        <v>0.88884564999999982</v>
      </c>
      <c r="I28" s="127">
        <f t="shared" si="10"/>
        <v>34.993923228346453</v>
      </c>
      <c r="J28" s="122">
        <f t="shared" si="0"/>
        <v>3</v>
      </c>
      <c r="K28" s="103">
        <f t="shared" si="1"/>
        <v>1</v>
      </c>
      <c r="L28" s="96"/>
      <c r="M28" s="7"/>
      <c r="N28" s="36"/>
      <c r="O28" s="99">
        <f t="shared" si="16"/>
        <v>5.1500000000000001E-3</v>
      </c>
      <c r="P28" s="99">
        <f t="shared" si="2"/>
        <v>1.9284999999999997E-2</v>
      </c>
      <c r="Q28" s="7"/>
      <c r="R28" s="7"/>
      <c r="S28" s="7"/>
      <c r="T28" s="159">
        <f t="shared" si="14"/>
        <v>1.7</v>
      </c>
      <c r="U28" s="164">
        <f t="shared" si="15"/>
        <v>1.2729999999999999</v>
      </c>
      <c r="X28"/>
    </row>
    <row r="29" spans="1:25" x14ac:dyDescent="0.25">
      <c r="A29" s="116">
        <v>2</v>
      </c>
      <c r="B29" s="128">
        <f t="shared" si="3"/>
        <v>31800</v>
      </c>
      <c r="C29" s="61">
        <f t="shared" si="4"/>
        <v>2.0999999999999998E-2</v>
      </c>
      <c r="D29" s="62">
        <f t="shared" si="5"/>
        <v>0.66779999999999995</v>
      </c>
      <c r="E29" s="16">
        <f t="shared" si="6"/>
        <v>26.291338582677167</v>
      </c>
      <c r="F29" s="128">
        <f t="shared" si="7"/>
        <v>39800</v>
      </c>
      <c r="G29" s="61">
        <f t="shared" si="8"/>
        <v>2.3099999999999999E-2</v>
      </c>
      <c r="H29" s="62">
        <f t="shared" si="9"/>
        <v>0.91937999999999998</v>
      </c>
      <c r="I29" s="16">
        <f t="shared" si="10"/>
        <v>36.196062992125988</v>
      </c>
      <c r="J29" s="123">
        <f t="shared" si="0"/>
        <v>3</v>
      </c>
      <c r="K29" s="104">
        <f t="shared" si="1"/>
        <v>1</v>
      </c>
      <c r="L29" s="44"/>
      <c r="M29" s="7"/>
      <c r="N29" s="36"/>
      <c r="O29" s="99">
        <f t="shared" si="16"/>
        <v>5.4999999999999997E-3</v>
      </c>
      <c r="P29" s="99">
        <f t="shared" si="2"/>
        <v>2.0999999999999998E-2</v>
      </c>
      <c r="Q29" s="7"/>
      <c r="R29" s="7"/>
      <c r="S29" s="7"/>
      <c r="T29" s="47">
        <f t="shared" si="14"/>
        <v>1.8</v>
      </c>
      <c r="U29" s="162">
        <f t="shared" si="15"/>
        <v>1.272</v>
      </c>
      <c r="X29"/>
    </row>
    <row r="30" spans="1:25" x14ac:dyDescent="0.25">
      <c r="A30" s="115">
        <v>2.1</v>
      </c>
      <c r="B30" s="126">
        <f t="shared" si="3"/>
        <v>30300</v>
      </c>
      <c r="C30" s="101">
        <f t="shared" si="4"/>
        <v>2.2784999999999996E-2</v>
      </c>
      <c r="D30" s="102">
        <f t="shared" si="5"/>
        <v>0.69038549999999987</v>
      </c>
      <c r="E30" s="127">
        <f t="shared" si="6"/>
        <v>27.18053149606299</v>
      </c>
      <c r="F30" s="126">
        <f t="shared" si="7"/>
        <v>37900</v>
      </c>
      <c r="G30" s="101">
        <f t="shared" si="8"/>
        <v>2.5063499999999999E-2</v>
      </c>
      <c r="H30" s="102">
        <f t="shared" si="9"/>
        <v>0.94990664999999996</v>
      </c>
      <c r="I30" s="127">
        <f t="shared" si="10"/>
        <v>37.397899606299212</v>
      </c>
      <c r="J30" s="122">
        <f t="shared" si="0"/>
        <v>3</v>
      </c>
      <c r="K30" s="103">
        <f t="shared" si="1"/>
        <v>1</v>
      </c>
      <c r="L30" s="96"/>
      <c r="M30" s="7"/>
      <c r="N30" s="36"/>
      <c r="O30" s="99">
        <f t="shared" si="16"/>
        <v>5.8499999999999993E-3</v>
      </c>
      <c r="P30" s="99">
        <f t="shared" si="2"/>
        <v>2.2784999999999996E-2</v>
      </c>
      <c r="Q30" s="7"/>
      <c r="R30" s="7"/>
      <c r="S30" s="7"/>
      <c r="T30" s="159">
        <f t="shared" si="14"/>
        <v>1.9000000000000001</v>
      </c>
      <c r="U30" s="164">
        <f t="shared" si="15"/>
        <v>1.2726000000000002</v>
      </c>
      <c r="X30"/>
    </row>
    <row r="31" spans="1:25" x14ac:dyDescent="0.25">
      <c r="A31" s="116">
        <v>2.2000000000000002</v>
      </c>
      <c r="B31" s="128">
        <f t="shared" si="3"/>
        <v>29000</v>
      </c>
      <c r="C31" s="61">
        <f t="shared" si="4"/>
        <v>2.4639999999999999E-2</v>
      </c>
      <c r="D31" s="62">
        <f t="shared" si="5"/>
        <v>0.71455999999999997</v>
      </c>
      <c r="E31" s="16">
        <f t="shared" si="6"/>
        <v>28.132283464566928</v>
      </c>
      <c r="F31" s="128">
        <f t="shared" si="7"/>
        <v>36200</v>
      </c>
      <c r="G31" s="61">
        <f t="shared" si="8"/>
        <v>2.7104E-2</v>
      </c>
      <c r="H31" s="62">
        <f t="shared" si="9"/>
        <v>0.98116480000000006</v>
      </c>
      <c r="I31" s="16">
        <f t="shared" si="10"/>
        <v>38.628535433070866</v>
      </c>
      <c r="J31" s="123">
        <f t="shared" si="0"/>
        <v>3</v>
      </c>
      <c r="K31" s="104">
        <f t="shared" si="1"/>
        <v>1</v>
      </c>
      <c r="L31" s="44"/>
      <c r="M31" s="7"/>
      <c r="N31" s="36"/>
      <c r="O31" s="99">
        <f t="shared" si="16"/>
        <v>6.1999999999999989E-3</v>
      </c>
      <c r="P31" s="99">
        <f t="shared" si="2"/>
        <v>2.4639999999999999E-2</v>
      </c>
      <c r="Q31" s="7"/>
      <c r="R31" s="7"/>
      <c r="S31" s="7"/>
      <c r="T31" s="47">
        <f t="shared" si="14"/>
        <v>2</v>
      </c>
      <c r="U31" s="162">
        <f t="shared" si="15"/>
        <v>1.2760000000000002</v>
      </c>
      <c r="X31"/>
    </row>
    <row r="32" spans="1:25" x14ac:dyDescent="0.25">
      <c r="A32" s="115">
        <v>2.2999999999999998</v>
      </c>
      <c r="B32" s="126">
        <f t="shared" si="3"/>
        <v>27700</v>
      </c>
      <c r="C32" s="101">
        <f t="shared" si="4"/>
        <v>2.6564999999999991E-2</v>
      </c>
      <c r="D32" s="102">
        <f t="shared" si="5"/>
        <v>0.73585049999999974</v>
      </c>
      <c r="E32" s="127">
        <f t="shared" si="6"/>
        <v>28.970492125984244</v>
      </c>
      <c r="F32" s="126">
        <f t="shared" si="7"/>
        <v>34600</v>
      </c>
      <c r="G32" s="101">
        <f t="shared" si="8"/>
        <v>2.9221499999999994E-2</v>
      </c>
      <c r="H32" s="102">
        <f t="shared" si="9"/>
        <v>1.0110638999999997</v>
      </c>
      <c r="I32" s="127">
        <f t="shared" si="10"/>
        <v>39.805665354330699</v>
      </c>
      <c r="J32" s="122">
        <f t="shared" si="0"/>
        <v>3</v>
      </c>
      <c r="K32" s="103">
        <f t="shared" si="1"/>
        <v>1</v>
      </c>
      <c r="L32" s="96"/>
      <c r="M32" s="7"/>
      <c r="N32" s="36"/>
      <c r="O32" s="99">
        <f t="shared" si="16"/>
        <v>6.5499999999999985E-3</v>
      </c>
      <c r="P32" s="99">
        <f t="shared" si="2"/>
        <v>2.6564999999999991E-2</v>
      </c>
      <c r="Q32" s="7"/>
      <c r="R32" s="7"/>
      <c r="S32" s="7"/>
      <c r="T32" s="159">
        <f t="shared" si="14"/>
        <v>2.0999999999999996</v>
      </c>
      <c r="U32" s="164">
        <f t="shared" si="15"/>
        <v>1.2742</v>
      </c>
      <c r="X32"/>
    </row>
    <row r="33" spans="1:24" x14ac:dyDescent="0.25">
      <c r="A33" s="116">
        <v>2.4</v>
      </c>
      <c r="B33" s="128">
        <f t="shared" si="3"/>
        <v>26500</v>
      </c>
      <c r="C33" s="61">
        <f t="shared" si="4"/>
        <v>2.8559999999999992E-2</v>
      </c>
      <c r="D33" s="62">
        <f t="shared" si="5"/>
        <v>0.75683999999999985</v>
      </c>
      <c r="E33" s="16">
        <f t="shared" si="6"/>
        <v>29.796850393700783</v>
      </c>
      <c r="F33" s="128">
        <f t="shared" si="7"/>
        <v>33200</v>
      </c>
      <c r="G33" s="61">
        <f t="shared" si="8"/>
        <v>3.1415999999999993E-2</v>
      </c>
      <c r="H33" s="62">
        <f t="shared" si="9"/>
        <v>1.0430111999999996</v>
      </c>
      <c r="I33" s="16">
        <f t="shared" si="10"/>
        <v>41.063433070866132</v>
      </c>
      <c r="J33" s="123">
        <f t="shared" si="0"/>
        <v>3</v>
      </c>
      <c r="K33" s="104">
        <f t="shared" si="1"/>
        <v>1</v>
      </c>
      <c r="L33" s="44"/>
      <c r="M33" s="7"/>
      <c r="N33" s="36"/>
      <c r="O33" s="99">
        <f t="shared" si="16"/>
        <v>6.8999999999999981E-3</v>
      </c>
      <c r="P33" s="99">
        <f t="shared" si="2"/>
        <v>2.8559999999999992E-2</v>
      </c>
      <c r="Q33" s="7"/>
      <c r="R33" s="7"/>
      <c r="S33" s="7"/>
      <c r="T33" s="47">
        <f t="shared" si="14"/>
        <v>2.1999999999999997</v>
      </c>
      <c r="U33" s="162">
        <f t="shared" si="15"/>
        <v>1.272</v>
      </c>
    </row>
    <row r="34" spans="1:24" x14ac:dyDescent="0.25">
      <c r="A34" s="115">
        <v>2.5</v>
      </c>
      <c r="B34" s="126">
        <f t="shared" si="3"/>
        <v>25500</v>
      </c>
      <c r="C34" s="101">
        <f t="shared" si="4"/>
        <v>3.0624999999999993E-2</v>
      </c>
      <c r="D34" s="102">
        <f t="shared" si="5"/>
        <v>0.78093749999999973</v>
      </c>
      <c r="E34" s="127">
        <f t="shared" si="6"/>
        <v>30.745570866141726</v>
      </c>
      <c r="F34" s="126">
        <f t="shared" si="7"/>
        <v>31800</v>
      </c>
      <c r="G34" s="101">
        <f t="shared" si="8"/>
        <v>3.3687499999999995E-2</v>
      </c>
      <c r="H34" s="102">
        <f t="shared" si="9"/>
        <v>1.0712624999999998</v>
      </c>
      <c r="I34" s="127">
        <f t="shared" si="10"/>
        <v>42.175688976377948</v>
      </c>
      <c r="J34" s="122">
        <f t="shared" si="0"/>
        <v>3</v>
      </c>
      <c r="K34" s="103">
        <f t="shared" si="1"/>
        <v>1</v>
      </c>
      <c r="L34" s="96"/>
      <c r="M34" s="7"/>
      <c r="N34" s="36"/>
      <c r="O34" s="99">
        <f t="shared" si="16"/>
        <v>7.2499999999999978E-3</v>
      </c>
      <c r="P34" s="99">
        <f t="shared" si="2"/>
        <v>3.0624999999999993E-2</v>
      </c>
      <c r="Q34" s="7"/>
      <c r="R34" s="7"/>
      <c r="S34" s="7"/>
      <c r="T34" s="159">
        <f t="shared" si="14"/>
        <v>2.2999999999999998</v>
      </c>
      <c r="U34" s="164">
        <f t="shared" si="15"/>
        <v>1.2749999999999999</v>
      </c>
    </row>
    <row r="35" spans="1:24" x14ac:dyDescent="0.25">
      <c r="A35" s="116">
        <v>2.6</v>
      </c>
      <c r="B35" s="128">
        <f t="shared" si="3"/>
        <v>24500</v>
      </c>
      <c r="C35" s="61">
        <f t="shared" si="4"/>
        <v>3.2759999999999991E-2</v>
      </c>
      <c r="D35" s="62">
        <f t="shared" si="5"/>
        <v>0.80261999999999978</v>
      </c>
      <c r="E35" s="16">
        <f t="shared" si="6"/>
        <v>31.59921259842519</v>
      </c>
      <c r="F35" s="128">
        <f t="shared" si="7"/>
        <v>30600</v>
      </c>
      <c r="G35" s="61">
        <f t="shared" si="8"/>
        <v>3.6035999999999992E-2</v>
      </c>
      <c r="H35" s="62">
        <f t="shared" si="9"/>
        <v>1.1027015999999996</v>
      </c>
      <c r="I35" s="16">
        <f t="shared" si="10"/>
        <v>43.413448818897628</v>
      </c>
      <c r="J35" s="123">
        <f t="shared" si="0"/>
        <v>3</v>
      </c>
      <c r="K35" s="104">
        <f t="shared" si="1"/>
        <v>1</v>
      </c>
      <c r="L35" s="44"/>
      <c r="M35" s="7"/>
      <c r="N35" s="36"/>
      <c r="O35" s="99">
        <f t="shared" si="16"/>
        <v>7.5999999999999974E-3</v>
      </c>
      <c r="P35" s="99">
        <f t="shared" si="2"/>
        <v>3.2759999999999991E-2</v>
      </c>
      <c r="Q35" s="7"/>
      <c r="R35" s="7"/>
      <c r="S35" s="7"/>
      <c r="T35" s="47">
        <f t="shared" si="14"/>
        <v>2.4</v>
      </c>
      <c r="U35" s="162">
        <f t="shared" si="15"/>
        <v>1.274</v>
      </c>
    </row>
    <row r="36" spans="1:24" x14ac:dyDescent="0.25">
      <c r="A36" s="115">
        <v>2.7</v>
      </c>
      <c r="B36" s="126">
        <f t="shared" si="3"/>
        <v>23600</v>
      </c>
      <c r="C36" s="101">
        <f t="shared" si="4"/>
        <v>3.4964999999999989E-2</v>
      </c>
      <c r="D36" s="102">
        <f t="shared" si="5"/>
        <v>0.82517399999999974</v>
      </c>
      <c r="E36" s="127">
        <f t="shared" si="6"/>
        <v>32.487165354330699</v>
      </c>
      <c r="F36" s="126">
        <f t="shared" si="7"/>
        <v>29500</v>
      </c>
      <c r="G36" s="101">
        <f t="shared" si="8"/>
        <v>3.8461499999999989E-2</v>
      </c>
      <c r="H36" s="102">
        <f t="shared" si="9"/>
        <v>1.1346142499999996</v>
      </c>
      <c r="I36" s="127">
        <f t="shared" si="10"/>
        <v>44.669852362204715</v>
      </c>
      <c r="J36" s="122">
        <f t="shared" si="0"/>
        <v>3</v>
      </c>
      <c r="K36" s="103">
        <f t="shared" si="1"/>
        <v>1</v>
      </c>
      <c r="L36" s="96"/>
      <c r="M36" s="7"/>
      <c r="N36" s="36"/>
      <c r="O36" s="99">
        <f t="shared" si="16"/>
        <v>7.949999999999997E-3</v>
      </c>
      <c r="P36" s="99">
        <f t="shared" si="2"/>
        <v>3.4964999999999989E-2</v>
      </c>
      <c r="Q36" s="7"/>
      <c r="R36" s="7"/>
      <c r="S36" s="7"/>
      <c r="T36" s="159">
        <f t="shared" si="14"/>
        <v>2.5</v>
      </c>
      <c r="U36" s="164">
        <f t="shared" si="15"/>
        <v>1.2744000000000002</v>
      </c>
    </row>
    <row r="37" spans="1:24" x14ac:dyDescent="0.25">
      <c r="A37" s="116">
        <v>2.8</v>
      </c>
      <c r="B37" s="128">
        <f t="shared" si="3"/>
        <v>22700</v>
      </c>
      <c r="C37" s="61">
        <f t="shared" si="4"/>
        <v>3.7239999999999988E-2</v>
      </c>
      <c r="D37" s="62">
        <f t="shared" si="5"/>
        <v>0.84534799999999977</v>
      </c>
      <c r="E37" s="16">
        <f t="shared" si="6"/>
        <v>33.281417322834635</v>
      </c>
      <c r="F37" s="128">
        <f t="shared" si="7"/>
        <v>28400</v>
      </c>
      <c r="G37" s="61">
        <f t="shared" si="8"/>
        <v>4.0963999999999993E-2</v>
      </c>
      <c r="H37" s="62">
        <f t="shared" si="9"/>
        <v>1.1633775999999998</v>
      </c>
      <c r="I37" s="16">
        <f t="shared" si="10"/>
        <v>45.802267716535425</v>
      </c>
      <c r="J37" s="123">
        <f t="shared" si="0"/>
        <v>3</v>
      </c>
      <c r="K37" s="104">
        <f t="shared" si="1"/>
        <v>1</v>
      </c>
      <c r="L37" s="44"/>
      <c r="M37" s="7"/>
      <c r="N37" s="36"/>
      <c r="O37" s="99">
        <f t="shared" si="16"/>
        <v>8.2999999999999966E-3</v>
      </c>
      <c r="P37" s="99">
        <f t="shared" si="2"/>
        <v>3.7239999999999988E-2</v>
      </c>
      <c r="Q37" s="7"/>
      <c r="R37" s="7"/>
      <c r="S37" s="7"/>
      <c r="T37" s="47">
        <f t="shared" si="14"/>
        <v>2.5999999999999996</v>
      </c>
      <c r="U37" s="162">
        <f t="shared" si="15"/>
        <v>1.2711999999999999</v>
      </c>
    </row>
    <row r="38" spans="1:24" x14ac:dyDescent="0.25">
      <c r="A38" s="115">
        <v>2.9</v>
      </c>
      <c r="B38" s="126">
        <f t="shared" si="3"/>
        <v>22000</v>
      </c>
      <c r="C38" s="101">
        <f t="shared" si="4"/>
        <v>3.9584999999999988E-2</v>
      </c>
      <c r="D38" s="102">
        <f t="shared" si="5"/>
        <v>0.87086999999999981</v>
      </c>
      <c r="E38" s="127">
        <f t="shared" si="6"/>
        <v>34.286220472440938</v>
      </c>
      <c r="F38" s="126">
        <f t="shared" si="7"/>
        <v>27500</v>
      </c>
      <c r="G38" s="101">
        <f t="shared" si="8"/>
        <v>4.3543499999999992E-2</v>
      </c>
      <c r="H38" s="102">
        <f t="shared" si="9"/>
        <v>1.1974462499999998</v>
      </c>
      <c r="I38" s="127">
        <f t="shared" si="10"/>
        <v>47.143553149606291</v>
      </c>
      <c r="J38" s="122">
        <f t="shared" si="0"/>
        <v>3</v>
      </c>
      <c r="K38" s="103">
        <f t="shared" si="1"/>
        <v>1</v>
      </c>
      <c r="L38" s="96"/>
      <c r="M38" s="7"/>
      <c r="N38" s="36"/>
      <c r="O38" s="99">
        <f t="shared" si="16"/>
        <v>8.6499999999999962E-3</v>
      </c>
      <c r="P38" s="99">
        <f t="shared" si="2"/>
        <v>3.9584999999999988E-2</v>
      </c>
      <c r="Q38" s="7"/>
      <c r="R38" s="7"/>
      <c r="S38" s="7"/>
      <c r="T38" s="159">
        <f t="shared" si="14"/>
        <v>2.6999999999999997</v>
      </c>
      <c r="U38" s="164">
        <f t="shared" si="15"/>
        <v>1.276</v>
      </c>
    </row>
    <row r="39" spans="1:24" ht="16.5" thickBot="1" x14ac:dyDescent="0.3">
      <c r="A39" s="117">
        <v>3</v>
      </c>
      <c r="B39" s="129">
        <f t="shared" si="3"/>
        <v>21200</v>
      </c>
      <c r="C39" s="130">
        <f t="shared" si="4"/>
        <v>4.1999999999999982E-2</v>
      </c>
      <c r="D39" s="131">
        <f t="shared" si="5"/>
        <v>0.89039999999999964</v>
      </c>
      <c r="E39" s="17">
        <f t="shared" si="6"/>
        <v>35.055118110236208</v>
      </c>
      <c r="F39" s="129">
        <f t="shared" si="7"/>
        <v>26500</v>
      </c>
      <c r="G39" s="130">
        <f t="shared" si="8"/>
        <v>4.6199999999999984E-2</v>
      </c>
      <c r="H39" s="131">
        <f t="shared" si="9"/>
        <v>1.2242999999999995</v>
      </c>
      <c r="I39" s="17">
        <f t="shared" si="10"/>
        <v>48.200787401574786</v>
      </c>
      <c r="J39" s="123">
        <f t="shared" si="0"/>
        <v>3</v>
      </c>
      <c r="K39" s="104">
        <f t="shared" si="1"/>
        <v>1</v>
      </c>
      <c r="L39" s="45"/>
      <c r="M39" s="7"/>
      <c r="N39" s="36"/>
      <c r="O39" s="99">
        <f t="shared" si="16"/>
        <v>8.9999999999999959E-3</v>
      </c>
      <c r="P39" s="99">
        <f t="shared" si="2"/>
        <v>4.1999999999999982E-2</v>
      </c>
      <c r="Q39" s="7"/>
      <c r="R39" s="7"/>
      <c r="S39" s="7"/>
      <c r="T39" s="47">
        <f t="shared" si="14"/>
        <v>2.8</v>
      </c>
      <c r="U39" s="162">
        <f t="shared" si="15"/>
        <v>1.272</v>
      </c>
    </row>
    <row r="40" spans="1:24" x14ac:dyDescent="0.25">
      <c r="A40" s="7"/>
      <c r="B40" s="7"/>
      <c r="C40" s="7"/>
      <c r="D40" s="9"/>
      <c r="E40" s="9"/>
      <c r="F40" s="9"/>
      <c r="G40" s="8"/>
      <c r="H40" s="9"/>
      <c r="I40" s="7"/>
      <c r="J40" s="18"/>
      <c r="K40" s="28" t="s">
        <v>43</v>
      </c>
      <c r="L40" s="7"/>
      <c r="M40" s="7"/>
      <c r="N40" s="7"/>
      <c r="O40" s="34"/>
      <c r="P40" s="34"/>
      <c r="Q40" s="7"/>
      <c r="R40" s="7"/>
      <c r="S40" s="7"/>
      <c r="T40" s="7"/>
      <c r="U40" s="7"/>
    </row>
    <row r="41" spans="1:24" x14ac:dyDescent="0.25">
      <c r="A41" s="7"/>
      <c r="B41" s="7"/>
      <c r="C41" s="7"/>
      <c r="D41" s="20"/>
      <c r="E41" s="20"/>
      <c r="F41" s="9"/>
      <c r="G41" s="8"/>
      <c r="H41" s="8"/>
      <c r="I41" s="8"/>
      <c r="J41" s="8"/>
      <c r="K41" s="8"/>
      <c r="L41" s="7"/>
      <c r="M41" s="32"/>
      <c r="N41" s="32"/>
      <c r="O41" s="33"/>
      <c r="P41" s="34"/>
      <c r="Q41" s="7"/>
      <c r="R41" s="7"/>
      <c r="S41" s="7"/>
      <c r="T41" s="7"/>
      <c r="U41" s="7"/>
    </row>
    <row r="42" spans="1:24" x14ac:dyDescent="0.25">
      <c r="A42" s="8"/>
      <c r="B42" s="19"/>
      <c r="C42" s="20"/>
      <c r="D42" s="20"/>
      <c r="E42" s="20"/>
      <c r="F42" s="9"/>
      <c r="G42" s="8"/>
      <c r="H42" s="8"/>
      <c r="I42" s="8"/>
      <c r="J42" s="7"/>
      <c r="K42" s="7"/>
      <c r="L42" s="1"/>
      <c r="M42" s="1"/>
      <c r="N42" s="1"/>
      <c r="O42" s="1"/>
      <c r="P42" s="1"/>
      <c r="Q42" s="1"/>
      <c r="R42" s="7"/>
      <c r="S42" s="7"/>
      <c r="T42" s="7"/>
      <c r="U42" s="7"/>
    </row>
    <row r="43" spans="1:24" ht="25.5" x14ac:dyDescent="0.35">
      <c r="I43" s="40"/>
      <c r="J43" s="7"/>
      <c r="K43" s="1"/>
      <c r="L43" s="1"/>
      <c r="M43" s="1"/>
      <c r="N43" s="1"/>
      <c r="O43" s="1"/>
      <c r="P43" s="1"/>
      <c r="Q43" s="1"/>
      <c r="R43" s="40"/>
      <c r="S43" s="41"/>
      <c r="T43" s="41"/>
      <c r="U43" s="41"/>
    </row>
    <row r="44" spans="1:24" ht="25.5" x14ac:dyDescent="0.35">
      <c r="A44" s="256" t="s">
        <v>15</v>
      </c>
      <c r="B44" s="257"/>
      <c r="C44" s="258" t="s">
        <v>16</v>
      </c>
      <c r="D44" s="259"/>
      <c r="E44" s="259"/>
      <c r="F44" s="260"/>
      <c r="G44" s="39"/>
      <c r="H44" s="40"/>
      <c r="I44" s="1"/>
      <c r="J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4" ht="16.5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4" ht="16.5" thickBot="1" x14ac:dyDescent="0.3">
      <c r="A46" s="261" t="s">
        <v>0</v>
      </c>
      <c r="B46" s="262"/>
      <c r="C46" s="154" t="s">
        <v>17</v>
      </c>
      <c r="D46" s="155" t="s">
        <v>18</v>
      </c>
      <c r="E46" s="155" t="s">
        <v>19</v>
      </c>
      <c r="F46" s="156" t="s">
        <v>11</v>
      </c>
      <c r="G46" s="157" t="s">
        <v>27</v>
      </c>
      <c r="H46" s="158" t="s">
        <v>34</v>
      </c>
      <c r="I46" s="265" t="s">
        <v>2</v>
      </c>
      <c r="J46" s="266"/>
      <c r="K46" s="266"/>
      <c r="L46" s="267"/>
      <c r="M46" s="1"/>
      <c r="N46" s="1"/>
      <c r="O46" s="1"/>
      <c r="P46" s="1"/>
      <c r="Q46" s="1"/>
      <c r="R46" s="1"/>
      <c r="S46" s="1"/>
      <c r="T46" s="1"/>
      <c r="U46" s="1"/>
    </row>
    <row r="47" spans="1:24" s="64" customFormat="1" ht="16.5" thickBot="1" x14ac:dyDescent="0.3">
      <c r="A47" s="5"/>
      <c r="B47" s="1"/>
      <c r="C47" s="150" t="s">
        <v>5</v>
      </c>
      <c r="D47" s="150" t="s">
        <v>5</v>
      </c>
      <c r="E47" s="150" t="s">
        <v>14</v>
      </c>
      <c r="F47" s="151" t="s">
        <v>3</v>
      </c>
      <c r="G47" s="152" t="s">
        <v>14</v>
      </c>
      <c r="H47" s="153" t="s">
        <v>35</v>
      </c>
      <c r="I47" s="261"/>
      <c r="J47" s="262"/>
      <c r="M47" s="68"/>
      <c r="N47" s="68"/>
      <c r="O47" s="68"/>
      <c r="P47" s="68"/>
      <c r="Q47" s="68"/>
      <c r="R47" s="68"/>
      <c r="S47" s="68"/>
      <c r="T47" s="68"/>
      <c r="U47" s="68"/>
      <c r="X47" s="108"/>
    </row>
    <row r="48" spans="1:24" s="81" customFormat="1" ht="17.25" thickTop="1" thickBot="1" x14ac:dyDescent="0.3">
      <c r="A48" s="263" t="str">
        <f>B2</f>
        <v>Diamantbeschichtet bei FR4</v>
      </c>
      <c r="B48" s="264"/>
      <c r="C48" s="80">
        <f t="shared" ref="C48:L48" si="17">IF($B$2=$A50,C50)+IF($B$2=$A51,C51)+IF($B$2=$A52,C52)+IF($B$2=$A53,C53)+IF($B$2=$A54,C54)+IF($B$2=$A55,C55)+IF($B$2=$A56,C56)+IF($B$2=$A57,C57)+IF($B$2=$A58,C58)+IF($B$2=$A59,C59)+IF($B$2=$A60,C60)+IF($B$2=$A61,C61)+IF($B$2=$A62,C62)</f>
        <v>200</v>
      </c>
      <c r="D48" s="80">
        <f t="shared" si="17"/>
        <v>250</v>
      </c>
      <c r="E48" s="80">
        <f t="shared" si="17"/>
        <v>0.5</v>
      </c>
      <c r="F48" s="80">
        <f t="shared" si="17"/>
        <v>3</v>
      </c>
      <c r="G48" s="80">
        <f t="shared" si="17"/>
        <v>2</v>
      </c>
      <c r="H48" s="146">
        <f t="shared" si="17"/>
        <v>0.8</v>
      </c>
      <c r="I48" s="147"/>
      <c r="J48" s="148"/>
      <c r="K48" s="148"/>
      <c r="L48" s="149">
        <f t="shared" si="17"/>
        <v>6</v>
      </c>
      <c r="M48" s="95"/>
      <c r="N48" s="95"/>
      <c r="O48" s="95"/>
      <c r="P48" s="95"/>
      <c r="Q48" s="95"/>
      <c r="R48" s="95"/>
      <c r="S48" s="95"/>
      <c r="T48" s="95"/>
      <c r="U48" s="95"/>
      <c r="V48" s="95"/>
      <c r="X48" s="108"/>
    </row>
    <row r="49" spans="1:21" customFormat="1" ht="17.25" thickTop="1" thickBot="1" x14ac:dyDescent="0.3">
      <c r="A49" s="64"/>
      <c r="B49" s="26"/>
      <c r="C49" s="26"/>
      <c r="D49" s="26"/>
      <c r="E49" s="65"/>
      <c r="F49" s="26"/>
      <c r="G49" s="98"/>
      <c r="H49" s="136"/>
      <c r="I49" s="1"/>
      <c r="M49" s="1"/>
      <c r="N49" s="1"/>
      <c r="O49" s="1"/>
      <c r="P49" s="1"/>
      <c r="Q49" s="1"/>
      <c r="R49" s="1"/>
      <c r="S49" s="1"/>
      <c r="T49" s="1"/>
      <c r="U49" s="1"/>
    </row>
    <row r="50" spans="1:21" customFormat="1" ht="15" x14ac:dyDescent="0.25">
      <c r="A50" s="251" t="s">
        <v>25</v>
      </c>
      <c r="B50" s="252"/>
      <c r="C50" s="21">
        <v>150</v>
      </c>
      <c r="D50" s="21">
        <v>200</v>
      </c>
      <c r="E50" s="66">
        <v>1</v>
      </c>
      <c r="F50" s="105">
        <v>6</v>
      </c>
      <c r="G50" s="97">
        <v>3</v>
      </c>
      <c r="H50" s="97">
        <v>0.2</v>
      </c>
      <c r="I50" s="141" t="s">
        <v>40</v>
      </c>
      <c r="L50">
        <v>1</v>
      </c>
      <c r="M50" s="1"/>
      <c r="N50" s="1"/>
      <c r="O50" s="1"/>
      <c r="P50" s="1"/>
      <c r="Q50" s="1"/>
      <c r="R50" s="1"/>
      <c r="S50" s="1"/>
      <c r="T50" s="1"/>
      <c r="U50" s="1"/>
    </row>
    <row r="51" spans="1:21" customFormat="1" ht="15" x14ac:dyDescent="0.25">
      <c r="A51" s="251" t="s">
        <v>33</v>
      </c>
      <c r="B51" s="252"/>
      <c r="C51" s="23">
        <v>150</v>
      </c>
      <c r="D51" s="23">
        <v>180</v>
      </c>
      <c r="E51" s="67">
        <v>0.8</v>
      </c>
      <c r="F51" s="24">
        <v>3</v>
      </c>
      <c r="G51" s="97">
        <f>F51/1.5</f>
        <v>2</v>
      </c>
      <c r="H51" s="97">
        <v>0.5</v>
      </c>
      <c r="I51" s="141" t="s">
        <v>36</v>
      </c>
      <c r="L51">
        <v>2</v>
      </c>
      <c r="M51" s="1"/>
      <c r="N51" s="1"/>
      <c r="O51" s="1"/>
      <c r="P51" s="1"/>
    </row>
    <row r="52" spans="1:21" customFormat="1" ht="15" x14ac:dyDescent="0.25">
      <c r="A52" s="251" t="s">
        <v>26</v>
      </c>
      <c r="B52" s="252"/>
      <c r="C52" s="23">
        <v>150</v>
      </c>
      <c r="D52" s="23">
        <v>180</v>
      </c>
      <c r="E52" s="23">
        <v>1.5</v>
      </c>
      <c r="F52" s="24">
        <v>3</v>
      </c>
      <c r="G52" s="97">
        <f>F52/1.5</f>
        <v>2</v>
      </c>
      <c r="H52" s="97">
        <v>0.5</v>
      </c>
      <c r="I52" s="141" t="s">
        <v>37</v>
      </c>
      <c r="L52">
        <v>3</v>
      </c>
      <c r="M52" s="1"/>
      <c r="N52" s="1"/>
      <c r="O52" s="1"/>
      <c r="P52" s="1"/>
    </row>
    <row r="53" spans="1:21" customFormat="1" ht="15" x14ac:dyDescent="0.25">
      <c r="A53" s="251" t="s">
        <v>20</v>
      </c>
      <c r="B53" s="252"/>
      <c r="C53" s="23">
        <v>100</v>
      </c>
      <c r="D53" s="23">
        <v>150</v>
      </c>
      <c r="E53" s="23">
        <v>0.3</v>
      </c>
      <c r="F53" s="25">
        <v>1.5</v>
      </c>
      <c r="G53" s="97">
        <f>F53/1.5</f>
        <v>1</v>
      </c>
      <c r="H53" s="97">
        <v>1</v>
      </c>
      <c r="I53" s="141" t="s">
        <v>21</v>
      </c>
      <c r="L53">
        <v>4</v>
      </c>
      <c r="M53" s="1"/>
      <c r="N53" s="1"/>
      <c r="O53" s="1"/>
      <c r="P53" s="1"/>
    </row>
    <row r="54" spans="1:21" customFormat="1" ht="15" x14ac:dyDescent="0.25">
      <c r="A54" s="251" t="s">
        <v>24</v>
      </c>
      <c r="B54" s="252"/>
      <c r="C54" s="23">
        <v>200</v>
      </c>
      <c r="D54" s="23">
        <v>250</v>
      </c>
      <c r="E54" s="23">
        <v>0.5</v>
      </c>
      <c r="F54" s="25">
        <v>1.5</v>
      </c>
      <c r="G54" s="97">
        <f>F54/1.5</f>
        <v>1</v>
      </c>
      <c r="H54" s="97">
        <v>0.8</v>
      </c>
      <c r="I54" s="141" t="s">
        <v>22</v>
      </c>
      <c r="L54">
        <v>5</v>
      </c>
      <c r="M54" s="1"/>
      <c r="N54" s="1"/>
      <c r="O54" s="1"/>
      <c r="P54" s="1"/>
    </row>
    <row r="55" spans="1:21" customFormat="1" ht="15" x14ac:dyDescent="0.25">
      <c r="A55" s="251" t="s">
        <v>32</v>
      </c>
      <c r="B55" s="252"/>
      <c r="C55" s="23">
        <v>200</v>
      </c>
      <c r="D55" s="23">
        <v>250</v>
      </c>
      <c r="E55" s="23">
        <v>0.5</v>
      </c>
      <c r="F55" s="24">
        <v>3</v>
      </c>
      <c r="G55" s="97">
        <f>F55/1.5</f>
        <v>2</v>
      </c>
      <c r="H55" s="97">
        <v>0.8</v>
      </c>
      <c r="I55" s="141" t="s">
        <v>23</v>
      </c>
      <c r="L55">
        <v>6</v>
      </c>
      <c r="M55" s="1"/>
      <c r="N55" s="1"/>
      <c r="O55" s="1"/>
      <c r="P55" s="1"/>
    </row>
    <row r="56" spans="1:21" customFormat="1" ht="15" x14ac:dyDescent="0.25">
      <c r="A56" s="251"/>
      <c r="B56" s="252"/>
      <c r="C56" s="23"/>
      <c r="D56" s="23"/>
      <c r="E56" s="23"/>
      <c r="F56" s="24"/>
      <c r="G56" s="97"/>
      <c r="H56" s="97"/>
      <c r="I56" s="142"/>
      <c r="L56">
        <v>7</v>
      </c>
      <c r="M56" s="1"/>
      <c r="N56" s="1"/>
      <c r="O56" s="1"/>
      <c r="P56" s="1"/>
    </row>
    <row r="57" spans="1:21" customFormat="1" ht="15" x14ac:dyDescent="0.25">
      <c r="A57" s="251"/>
      <c r="B57" s="252"/>
      <c r="C57" s="23"/>
      <c r="D57" s="23"/>
      <c r="E57" s="23"/>
      <c r="F57" s="24"/>
      <c r="G57" s="97"/>
      <c r="H57" s="97"/>
      <c r="I57" s="142"/>
      <c r="L57">
        <v>8</v>
      </c>
      <c r="M57" s="1"/>
      <c r="N57" s="1"/>
      <c r="O57" s="1"/>
      <c r="P57" s="1"/>
    </row>
    <row r="58" spans="1:21" customFormat="1" ht="15" x14ac:dyDescent="0.25">
      <c r="A58" s="251"/>
      <c r="B58" s="252"/>
      <c r="C58" s="23"/>
      <c r="D58" s="23"/>
      <c r="E58" s="67"/>
      <c r="F58" s="24"/>
      <c r="G58" s="97"/>
      <c r="H58" s="135"/>
      <c r="I58" s="142"/>
      <c r="L58">
        <v>9</v>
      </c>
      <c r="M58" s="1"/>
      <c r="N58" s="1"/>
      <c r="O58" s="1"/>
      <c r="P58" s="1"/>
    </row>
    <row r="59" spans="1:21" customFormat="1" ht="15" x14ac:dyDescent="0.25">
      <c r="A59" s="251"/>
      <c r="B59" s="252"/>
      <c r="C59" s="23"/>
      <c r="D59" s="23"/>
      <c r="E59" s="23"/>
      <c r="F59" s="24"/>
      <c r="G59" s="97"/>
      <c r="H59" s="135"/>
      <c r="I59" s="142"/>
      <c r="L59">
        <v>10</v>
      </c>
      <c r="M59" s="1"/>
      <c r="N59" s="1"/>
      <c r="O59" s="1"/>
      <c r="P59" s="1"/>
    </row>
    <row r="60" spans="1:21" customFormat="1" ht="15" x14ac:dyDescent="0.25">
      <c r="A60" s="251"/>
      <c r="B60" s="252"/>
      <c r="C60" s="23"/>
      <c r="D60" s="23"/>
      <c r="E60" s="23"/>
      <c r="F60" s="25"/>
      <c r="G60" s="97"/>
      <c r="H60" s="135"/>
      <c r="I60" s="142"/>
      <c r="L60">
        <v>11</v>
      </c>
      <c r="M60" s="1"/>
      <c r="N60" s="1"/>
      <c r="O60" s="1"/>
      <c r="P60" s="1"/>
    </row>
    <row r="61" spans="1:21" customFormat="1" ht="15" x14ac:dyDescent="0.25">
      <c r="A61" s="251"/>
      <c r="B61" s="252"/>
      <c r="C61" s="23"/>
      <c r="D61" s="23"/>
      <c r="E61" s="23"/>
      <c r="F61" s="25"/>
      <c r="G61" s="97"/>
      <c r="H61" s="135"/>
      <c r="I61" s="142"/>
      <c r="L61">
        <v>12</v>
      </c>
      <c r="M61" s="1"/>
      <c r="N61" s="1"/>
      <c r="O61" s="1"/>
      <c r="P61" s="1"/>
    </row>
    <row r="62" spans="1:21" customFormat="1" ht="15" x14ac:dyDescent="0.25">
      <c r="A62" s="251"/>
      <c r="B62" s="252"/>
      <c r="C62" s="23"/>
      <c r="D62" s="23"/>
      <c r="E62" s="23"/>
      <c r="F62" s="24"/>
      <c r="G62" s="97"/>
      <c r="H62" s="135"/>
      <c r="I62" s="142"/>
      <c r="L62">
        <v>13</v>
      </c>
      <c r="M62" s="2"/>
      <c r="N62" s="1"/>
      <c r="O62" s="35"/>
      <c r="P62" s="1"/>
      <c r="Q62" s="1"/>
      <c r="R62" s="1"/>
      <c r="S62" s="1"/>
      <c r="T62" s="1"/>
      <c r="U62" s="1"/>
    </row>
    <row r="63" spans="1:21" customFormat="1" ht="15" x14ac:dyDescent="0.25">
      <c r="K63" s="1"/>
    </row>
    <row r="64" spans="1:21" customFormat="1" ht="15" x14ac:dyDescent="0.25">
      <c r="K64" s="69"/>
    </row>
    <row r="65" spans="11:11" customFormat="1" ht="15" x14ac:dyDescent="0.25">
      <c r="K65" s="1"/>
    </row>
  </sheetData>
  <mergeCells count="32">
    <mergeCell ref="A60:B60"/>
    <mergeCell ref="A61:B61"/>
    <mergeCell ref="A62:B62"/>
    <mergeCell ref="A54:B54"/>
    <mergeCell ref="A55:B55"/>
    <mergeCell ref="A56:B56"/>
    <mergeCell ref="A57:B57"/>
    <mergeCell ref="A58:B58"/>
    <mergeCell ref="A59:B59"/>
    <mergeCell ref="A53:B53"/>
    <mergeCell ref="D9:E9"/>
    <mergeCell ref="H9:I9"/>
    <mergeCell ref="A44:B44"/>
    <mergeCell ref="C44:F44"/>
    <mergeCell ref="A46:B46"/>
    <mergeCell ref="I46:L46"/>
    <mergeCell ref="I47:J47"/>
    <mergeCell ref="A48:B48"/>
    <mergeCell ref="A50:B50"/>
    <mergeCell ref="A51:B51"/>
    <mergeCell ref="A52:B52"/>
    <mergeCell ref="D6:E6"/>
    <mergeCell ref="H6:I6"/>
    <mergeCell ref="K6:K7"/>
    <mergeCell ref="T6:U6"/>
    <mergeCell ref="C7:E7"/>
    <mergeCell ref="G7:I7"/>
    <mergeCell ref="A1:C1"/>
    <mergeCell ref="D1:G1"/>
    <mergeCell ref="B2:G2"/>
    <mergeCell ref="D3:E3"/>
    <mergeCell ref="D4:E4"/>
  </mergeCells>
  <dataValidations count="1">
    <dataValidation type="list" allowBlank="1" showInputMessage="1" showErrorMessage="1" sqref="B2:C2" xr:uid="{00000000-0002-0000-0600-000000000000}">
      <formula1>$A$50:$A$62</formula1>
    </dataValidation>
  </dataValidations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shapeId="8193" r:id="rId3">
          <objectPr defaultSize="0" autoPict="0" r:id="rId4">
            <anchor moveWithCells="1" sizeWithCells="1">
              <from>
                <xdr:col>7</xdr:col>
                <xdr:colOff>371475</xdr:colOff>
                <xdr:row>0</xdr:row>
                <xdr:rowOff>104775</xdr:rowOff>
              </from>
              <to>
                <xdr:col>10</xdr:col>
                <xdr:colOff>933450</xdr:colOff>
                <xdr:row>1</xdr:row>
                <xdr:rowOff>247650</xdr:rowOff>
              </to>
            </anchor>
          </objectPr>
        </oleObject>
      </mc:Choice>
      <mc:Fallback>
        <oleObject shapeId="8193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N34"/>
  <sheetViews>
    <sheetView workbookViewId="0">
      <selection activeCell="Q17" sqref="Q17"/>
    </sheetView>
  </sheetViews>
  <sheetFormatPr baseColWidth="10" defaultRowHeight="15" x14ac:dyDescent="0.25"/>
  <cols>
    <col min="1" max="5" width="11.42578125" style="226"/>
    <col min="6" max="6" width="12.140625" style="226" bestFit="1" customWidth="1"/>
    <col min="7" max="16384" width="11.42578125" style="226"/>
  </cols>
  <sheetData>
    <row r="2" spans="1:14" x14ac:dyDescent="0.2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</row>
    <row r="3" spans="1:14" x14ac:dyDescent="0.2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</row>
    <row r="4" spans="1:14" x14ac:dyDescent="0.2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</row>
    <row r="5" spans="1:14" x14ac:dyDescent="0.25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</row>
    <row r="6" spans="1:14" x14ac:dyDescent="0.25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</row>
    <row r="7" spans="1:14" x14ac:dyDescent="0.25">
      <c r="A7" s="270"/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</row>
    <row r="8" spans="1:14" x14ac:dyDescent="0.25">
      <c r="A8" s="270"/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</row>
    <row r="9" spans="1:14" x14ac:dyDescent="0.25">
      <c r="A9" s="270"/>
      <c r="B9" s="270"/>
      <c r="C9" s="270"/>
      <c r="D9" s="270"/>
      <c r="E9" s="270" t="s">
        <v>59</v>
      </c>
      <c r="F9" s="270" t="s">
        <v>58</v>
      </c>
      <c r="G9" s="270"/>
      <c r="H9" s="270"/>
      <c r="I9" s="270"/>
      <c r="J9" s="270"/>
      <c r="K9" s="270"/>
      <c r="L9" s="270"/>
      <c r="M9" s="270"/>
      <c r="N9" s="270"/>
    </row>
    <row r="10" spans="1:14" x14ac:dyDescent="0.25">
      <c r="A10" s="270"/>
      <c r="B10" s="270"/>
      <c r="C10" s="270"/>
      <c r="D10" s="270"/>
      <c r="E10" s="270" t="s">
        <v>7</v>
      </c>
      <c r="F10" s="270" t="s">
        <v>7</v>
      </c>
      <c r="G10" s="270"/>
      <c r="H10" s="270"/>
      <c r="I10" s="270"/>
      <c r="J10" s="270"/>
      <c r="K10" s="270"/>
      <c r="L10" s="270"/>
      <c r="M10" s="270"/>
      <c r="N10" s="270"/>
    </row>
    <row r="11" spans="1:14" x14ac:dyDescent="0.25">
      <c r="A11" s="270"/>
      <c r="B11" s="270"/>
      <c r="C11" s="270" t="s">
        <v>47</v>
      </c>
      <c r="D11" s="270" t="s">
        <v>60</v>
      </c>
      <c r="E11" s="271">
        <f>'PE, PTFE, PMMA, Polyimid flex, '!B4</f>
        <v>15000</v>
      </c>
      <c r="F11" s="271">
        <f>'PE, PTFE, PMMA, Polyimid flex, '!B4</f>
        <v>15000</v>
      </c>
      <c r="G11" s="270"/>
      <c r="H11" s="270"/>
      <c r="I11" s="270"/>
      <c r="J11" s="270"/>
      <c r="K11" s="270"/>
      <c r="L11" s="270"/>
      <c r="M11" s="270"/>
      <c r="N11" s="270"/>
    </row>
    <row r="12" spans="1:14" x14ac:dyDescent="0.25">
      <c r="A12" s="270"/>
      <c r="B12" s="270"/>
      <c r="C12" s="270" t="s">
        <v>3</v>
      </c>
      <c r="D12" s="270" t="s">
        <v>48</v>
      </c>
      <c r="E12" s="270">
        <f>'PE, PTFE, PMMA, Polyimid flex, '!C6</f>
        <v>150</v>
      </c>
      <c r="F12" s="272">
        <f>'PE, PTFE, PMMA, Polyimid flex, '!G6</f>
        <v>180</v>
      </c>
      <c r="G12" s="270"/>
      <c r="H12" s="270"/>
      <c r="I12" s="270"/>
      <c r="J12" s="270"/>
      <c r="K12" s="270"/>
      <c r="L12" s="270"/>
      <c r="M12" s="270"/>
      <c r="N12" s="270"/>
    </row>
    <row r="13" spans="1:14" x14ac:dyDescent="0.25">
      <c r="A13" s="270"/>
      <c r="B13" s="270"/>
      <c r="C13" s="270">
        <v>0.3</v>
      </c>
      <c r="D13" s="270" t="s">
        <v>5</v>
      </c>
      <c r="E13" s="271">
        <f t="shared" ref="E13:E31" si="0">IF(($E$12/(C13*PI())*1000)&lt;E$11,E$11,($E$12/(C13*PI())*1000))</f>
        <v>159154.94309189534</v>
      </c>
      <c r="F13" s="271">
        <f t="shared" ref="F13:F31" si="1">IF(($F$12/(C13*PI())*1000)&lt;F$11,F$11,($F$12/(C13*PI())*1000))</f>
        <v>190985.9317102744</v>
      </c>
      <c r="G13" s="270"/>
      <c r="H13" s="270"/>
      <c r="I13" s="270"/>
      <c r="J13" s="270"/>
      <c r="K13" s="270"/>
      <c r="L13" s="270"/>
      <c r="M13" s="270"/>
      <c r="N13" s="270"/>
    </row>
    <row r="14" spans="1:14" x14ac:dyDescent="0.25">
      <c r="A14" s="270"/>
      <c r="B14" s="270"/>
      <c r="C14" s="270">
        <v>0.4</v>
      </c>
      <c r="D14" s="270"/>
      <c r="E14" s="271">
        <f t="shared" si="0"/>
        <v>119366.20731892152</v>
      </c>
      <c r="F14" s="271">
        <f t="shared" si="1"/>
        <v>143239.44878270582</v>
      </c>
      <c r="G14" s="270"/>
      <c r="H14" s="270"/>
      <c r="I14" s="270"/>
      <c r="J14" s="270"/>
      <c r="K14" s="270"/>
      <c r="L14" s="270"/>
      <c r="M14" s="270"/>
      <c r="N14" s="270"/>
    </row>
    <row r="15" spans="1:14" x14ac:dyDescent="0.25">
      <c r="A15" s="270"/>
      <c r="B15" s="270"/>
      <c r="C15" s="270">
        <v>0.5</v>
      </c>
      <c r="D15" s="270"/>
      <c r="E15" s="271">
        <f t="shared" si="0"/>
        <v>95492.965855137198</v>
      </c>
      <c r="F15" s="271">
        <f t="shared" si="1"/>
        <v>114591.55902616464</v>
      </c>
      <c r="G15" s="270"/>
      <c r="H15" s="270"/>
      <c r="I15" s="270"/>
      <c r="J15" s="270"/>
      <c r="K15" s="270"/>
      <c r="L15" s="270"/>
      <c r="M15" s="270"/>
      <c r="N15" s="270"/>
    </row>
    <row r="16" spans="1:14" x14ac:dyDescent="0.25">
      <c r="A16" s="270"/>
      <c r="B16" s="270"/>
      <c r="C16" s="270">
        <v>0.6</v>
      </c>
      <c r="D16" s="270"/>
      <c r="E16" s="271">
        <f t="shared" si="0"/>
        <v>79577.471545947672</v>
      </c>
      <c r="F16" s="271">
        <f t="shared" si="1"/>
        <v>95492.965855137198</v>
      </c>
      <c r="G16" s="270"/>
      <c r="H16" s="270"/>
      <c r="I16" s="270"/>
      <c r="J16" s="270"/>
      <c r="K16" s="270"/>
      <c r="L16" s="270"/>
      <c r="M16" s="270"/>
      <c r="N16" s="270"/>
    </row>
    <row r="17" spans="1:14" x14ac:dyDescent="0.25">
      <c r="A17" s="270"/>
      <c r="B17" s="270"/>
      <c r="C17" s="270">
        <v>0.7</v>
      </c>
      <c r="D17" s="270"/>
      <c r="E17" s="271">
        <f t="shared" si="0"/>
        <v>68209.261325097992</v>
      </c>
      <c r="F17" s="271">
        <f t="shared" si="1"/>
        <v>81851.113590117602</v>
      </c>
      <c r="G17" s="270"/>
      <c r="H17" s="270"/>
      <c r="I17" s="270"/>
      <c r="J17" s="270"/>
      <c r="K17" s="270"/>
      <c r="L17" s="270"/>
      <c r="M17" s="270"/>
      <c r="N17" s="270"/>
    </row>
    <row r="18" spans="1:14" x14ac:dyDescent="0.25">
      <c r="A18" s="270"/>
      <c r="B18" s="270"/>
      <c r="C18" s="270">
        <v>0.8</v>
      </c>
      <c r="D18" s="270"/>
      <c r="E18" s="271">
        <f t="shared" si="0"/>
        <v>59683.103659460758</v>
      </c>
      <c r="F18" s="271">
        <f t="shared" si="1"/>
        <v>71619.724391352909</v>
      </c>
      <c r="G18" s="270"/>
      <c r="H18" s="270"/>
      <c r="I18" s="270"/>
      <c r="J18" s="270"/>
      <c r="K18" s="270"/>
      <c r="L18" s="270"/>
      <c r="M18" s="270"/>
      <c r="N18" s="270"/>
    </row>
    <row r="19" spans="1:14" x14ac:dyDescent="0.25">
      <c r="A19" s="270"/>
      <c r="B19" s="270"/>
      <c r="C19" s="270">
        <v>0.9</v>
      </c>
      <c r="D19" s="270"/>
      <c r="E19" s="271">
        <f t="shared" si="0"/>
        <v>53051.647697298453</v>
      </c>
      <c r="F19" s="271">
        <f t="shared" si="1"/>
        <v>63661.977236758132</v>
      </c>
      <c r="G19" s="270"/>
      <c r="H19" s="270"/>
      <c r="I19" s="270"/>
      <c r="J19" s="270"/>
      <c r="K19" s="270"/>
      <c r="L19" s="270"/>
      <c r="M19" s="270"/>
      <c r="N19" s="270"/>
    </row>
    <row r="20" spans="1:14" x14ac:dyDescent="0.25">
      <c r="A20" s="270"/>
      <c r="B20" s="270"/>
      <c r="C20" s="270">
        <v>1</v>
      </c>
      <c r="D20" s="270"/>
      <c r="E20" s="271">
        <f t="shared" si="0"/>
        <v>47746.482927568599</v>
      </c>
      <c r="F20" s="271">
        <f t="shared" si="1"/>
        <v>57295.779513082322</v>
      </c>
      <c r="G20" s="270"/>
      <c r="H20" s="270"/>
      <c r="I20" s="270"/>
      <c r="J20" s="270"/>
      <c r="K20" s="270"/>
      <c r="L20" s="270"/>
      <c r="M20" s="270"/>
      <c r="N20" s="270"/>
    </row>
    <row r="21" spans="1:14" x14ac:dyDescent="0.25">
      <c r="A21" s="270"/>
      <c r="B21" s="270"/>
      <c r="C21" s="270">
        <v>1.5</v>
      </c>
      <c r="D21" s="270"/>
      <c r="E21" s="271">
        <f t="shared" si="0"/>
        <v>31830.988618379066</v>
      </c>
      <c r="F21" s="271">
        <f t="shared" si="1"/>
        <v>38197.186342054883</v>
      </c>
      <c r="G21" s="270"/>
      <c r="H21" s="270"/>
      <c r="I21" s="270"/>
      <c r="J21" s="270"/>
      <c r="K21" s="270"/>
      <c r="L21" s="270"/>
      <c r="M21" s="270"/>
      <c r="N21" s="270"/>
    </row>
    <row r="22" spans="1:14" x14ac:dyDescent="0.25">
      <c r="A22" s="270"/>
      <c r="B22" s="270"/>
      <c r="C22" s="270">
        <v>2</v>
      </c>
      <c r="D22" s="270"/>
      <c r="E22" s="271">
        <f t="shared" si="0"/>
        <v>23873.241463784299</v>
      </c>
      <c r="F22" s="271">
        <f t="shared" si="1"/>
        <v>28647.889756541161</v>
      </c>
      <c r="G22" s="270"/>
      <c r="H22" s="270"/>
      <c r="I22" s="270"/>
      <c r="J22" s="270"/>
      <c r="K22" s="270"/>
      <c r="L22" s="270"/>
      <c r="M22" s="270"/>
      <c r="N22" s="270"/>
    </row>
    <row r="23" spans="1:14" x14ac:dyDescent="0.25">
      <c r="A23" s="270"/>
      <c r="B23" s="270"/>
      <c r="C23" s="270">
        <v>2.5</v>
      </c>
      <c r="D23" s="270"/>
      <c r="E23" s="271">
        <f t="shared" si="0"/>
        <v>19098.593171027442</v>
      </c>
      <c r="F23" s="271">
        <f t="shared" si="1"/>
        <v>22918.31180523293</v>
      </c>
      <c r="G23" s="270"/>
      <c r="H23" s="270"/>
      <c r="I23" s="270"/>
      <c r="J23" s="270"/>
      <c r="K23" s="270"/>
      <c r="L23" s="270"/>
      <c r="M23" s="270"/>
      <c r="N23" s="270"/>
    </row>
    <row r="24" spans="1:14" x14ac:dyDescent="0.25">
      <c r="A24" s="270"/>
      <c r="B24" s="270"/>
      <c r="C24" s="270">
        <v>3</v>
      </c>
      <c r="D24" s="270"/>
      <c r="E24" s="271">
        <f t="shared" si="0"/>
        <v>15915.494309189533</v>
      </c>
      <c r="F24" s="271">
        <f t="shared" si="1"/>
        <v>19098.593171027442</v>
      </c>
      <c r="G24" s="270"/>
      <c r="H24" s="270"/>
      <c r="I24" s="270"/>
      <c r="J24" s="270"/>
      <c r="K24" s="270"/>
      <c r="L24" s="270"/>
      <c r="M24" s="270"/>
      <c r="N24" s="270"/>
    </row>
    <row r="25" spans="1:14" x14ac:dyDescent="0.25">
      <c r="A25" s="270"/>
      <c r="B25" s="270"/>
      <c r="C25" s="270">
        <v>3.5</v>
      </c>
      <c r="D25" s="270"/>
      <c r="E25" s="271">
        <f t="shared" si="0"/>
        <v>15000</v>
      </c>
      <c r="F25" s="271">
        <f t="shared" si="1"/>
        <v>16370.22271802352</v>
      </c>
      <c r="G25" s="270"/>
      <c r="H25" s="270"/>
      <c r="I25" s="270"/>
      <c r="J25" s="270"/>
      <c r="K25" s="270"/>
      <c r="L25" s="270"/>
      <c r="M25" s="270"/>
      <c r="N25" s="270"/>
    </row>
    <row r="26" spans="1:14" x14ac:dyDescent="0.25">
      <c r="A26" s="270"/>
      <c r="B26" s="270"/>
      <c r="C26" s="270">
        <v>4</v>
      </c>
      <c r="D26" s="270"/>
      <c r="E26" s="271">
        <f t="shared" si="0"/>
        <v>15000</v>
      </c>
      <c r="F26" s="271">
        <f t="shared" si="1"/>
        <v>15000</v>
      </c>
      <c r="G26" s="270"/>
      <c r="H26" s="270"/>
      <c r="I26" s="270"/>
      <c r="J26" s="270"/>
      <c r="K26" s="270"/>
      <c r="L26" s="270"/>
      <c r="M26" s="270"/>
      <c r="N26" s="270"/>
    </row>
    <row r="27" spans="1:14" x14ac:dyDescent="0.25">
      <c r="A27" s="270"/>
      <c r="B27" s="270"/>
      <c r="C27" s="270">
        <v>4.5</v>
      </c>
      <c r="D27" s="270"/>
      <c r="E27" s="271">
        <f t="shared" si="0"/>
        <v>15000</v>
      </c>
      <c r="F27" s="271">
        <f t="shared" si="1"/>
        <v>15000</v>
      </c>
      <c r="G27" s="270"/>
      <c r="H27" s="270"/>
      <c r="I27" s="270"/>
      <c r="J27" s="270"/>
      <c r="K27" s="270"/>
      <c r="L27" s="270"/>
      <c r="M27" s="270"/>
      <c r="N27" s="270"/>
    </row>
    <row r="28" spans="1:14" x14ac:dyDescent="0.25">
      <c r="A28" s="270"/>
      <c r="B28" s="270"/>
      <c r="C28" s="270">
        <v>5</v>
      </c>
      <c r="D28" s="270"/>
      <c r="E28" s="271">
        <f t="shared" si="0"/>
        <v>15000</v>
      </c>
      <c r="F28" s="271">
        <f t="shared" si="1"/>
        <v>15000</v>
      </c>
      <c r="G28" s="270"/>
      <c r="H28" s="270"/>
      <c r="I28" s="270"/>
      <c r="J28" s="270"/>
      <c r="K28" s="270"/>
      <c r="L28" s="270"/>
      <c r="M28" s="270"/>
      <c r="N28" s="270"/>
    </row>
    <row r="29" spans="1:14" x14ac:dyDescent="0.25">
      <c r="A29" s="270"/>
      <c r="B29" s="270"/>
      <c r="C29" s="270">
        <v>5.5</v>
      </c>
      <c r="D29" s="270"/>
      <c r="E29" s="271">
        <f t="shared" si="0"/>
        <v>15000</v>
      </c>
      <c r="F29" s="271">
        <f t="shared" si="1"/>
        <v>15000</v>
      </c>
      <c r="G29" s="270"/>
      <c r="H29" s="270"/>
      <c r="I29" s="270"/>
      <c r="J29" s="270"/>
      <c r="K29" s="270"/>
      <c r="L29" s="270"/>
      <c r="M29" s="270"/>
      <c r="N29" s="270"/>
    </row>
    <row r="30" spans="1:14" x14ac:dyDescent="0.25">
      <c r="A30" s="270"/>
      <c r="B30" s="270"/>
      <c r="C30" s="270">
        <v>6</v>
      </c>
      <c r="D30" s="270"/>
      <c r="E30" s="271">
        <f t="shared" si="0"/>
        <v>15000</v>
      </c>
      <c r="F30" s="271">
        <f t="shared" si="1"/>
        <v>15000</v>
      </c>
      <c r="G30" s="270"/>
      <c r="H30" s="270"/>
      <c r="I30" s="270"/>
      <c r="J30" s="270"/>
      <c r="K30" s="270"/>
      <c r="L30" s="270"/>
      <c r="M30" s="270"/>
      <c r="N30" s="270"/>
    </row>
    <row r="31" spans="1:14" x14ac:dyDescent="0.25">
      <c r="A31" s="270"/>
      <c r="B31" s="270"/>
      <c r="C31" s="270">
        <v>6.5</v>
      </c>
      <c r="D31" s="270"/>
      <c r="E31" s="271">
        <f t="shared" si="0"/>
        <v>15000</v>
      </c>
      <c r="F31" s="271">
        <f t="shared" si="1"/>
        <v>15000</v>
      </c>
      <c r="G31" s="270"/>
      <c r="H31" s="270"/>
      <c r="I31" s="270"/>
      <c r="J31" s="270"/>
      <c r="K31" s="270"/>
      <c r="L31" s="270"/>
      <c r="M31" s="270"/>
      <c r="N31" s="270"/>
    </row>
    <row r="32" spans="1:14" x14ac:dyDescent="0.25">
      <c r="A32" s="270"/>
      <c r="B32" s="270"/>
      <c r="C32" s="270"/>
      <c r="D32" s="270"/>
      <c r="E32" s="271"/>
      <c r="F32" s="270"/>
      <c r="G32" s="270"/>
      <c r="H32" s="270"/>
      <c r="I32" s="270"/>
      <c r="J32" s="270"/>
      <c r="K32" s="270"/>
      <c r="L32" s="270"/>
      <c r="M32" s="270"/>
      <c r="N32" s="270"/>
    </row>
    <row r="33" spans="1:14" x14ac:dyDescent="0.25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</row>
    <row r="34" spans="1:14" x14ac:dyDescent="0.25">
      <c r="A34" s="270"/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FR2, FR3, FR4, CEM</vt:lpstr>
      <vt:lpstr>FR4 with aluminium</vt:lpstr>
      <vt:lpstr>Halogenfrei, BT, Polyimid Starr</vt:lpstr>
      <vt:lpstr>PE, PTFE, PMMA, Polyimid flex, </vt:lpstr>
      <vt:lpstr>Alu, Cu, IMS</vt:lpstr>
      <vt:lpstr>Diamondcoated IMS</vt:lpstr>
      <vt:lpstr>Diamondcoated at FR4</vt:lpstr>
      <vt:lpstr>Schnittgechwindigkeit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Martens</dc:creator>
  <cp:lastModifiedBy>Thomas Neuschl</cp:lastModifiedBy>
  <cp:lastPrinted>2018-09-27T06:37:54Z</cp:lastPrinted>
  <dcterms:created xsi:type="dcterms:W3CDTF">2018-03-27T09:46:51Z</dcterms:created>
  <dcterms:modified xsi:type="dcterms:W3CDTF">2023-05-26T09:28:16Z</dcterms:modified>
</cp:coreProperties>
</file>